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c\Documents\"/>
    </mc:Choice>
  </mc:AlternateContent>
  <xr:revisionPtr revIDLastSave="0" documentId="8_{EDD793FC-B683-4C9F-BED2-EF329D8F2407}" xr6:coauthVersionLast="45" xr6:coauthVersionMax="45" xr10:uidLastSave="{00000000-0000-0000-0000-000000000000}"/>
  <bookViews>
    <workbookView xWindow="-110" yWindow="-110" windowWidth="19420" windowHeight="11020" xr2:uid="{9E162955-AA09-45EC-B11C-18F130885E0A}"/>
  </bookViews>
  <sheets>
    <sheet name="Sheet1" sheetId="1" r:id="rId1"/>
  </sheets>
  <definedNames>
    <definedName name="_xlnm._FilterDatabase" localSheetId="0" hidden="1">Sheet1!$A$1:$F$1350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50" i="1" l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<sst xmlns="http://schemas.openxmlformats.org/spreadsheetml/2006/main" count="8617" uniqueCount="6055">
  <si>
    <t>Title</t>
  </si>
  <si>
    <t>EIsbn</t>
  </si>
  <si>
    <t>Publisher</t>
  </si>
  <si>
    <t>Series Title</t>
  </si>
  <si>
    <t>Authors</t>
  </si>
  <si>
    <t>Subject</t>
  </si>
  <si>
    <t>Lcsh</t>
  </si>
  <si>
    <t>Full Record URL</t>
  </si>
  <si>
    <t>Wittgenstein: Rethinking the Inner</t>
  </si>
  <si>
    <t>Taylor &amp; Francis Group</t>
  </si>
  <si>
    <t>Johnston, Paul;Johnston, Paul</t>
  </si>
  <si>
    <t>Philosophy</t>
  </si>
  <si>
    <t>Self (Philosophy)</t>
  </si>
  <si>
    <t>https://ebookcentral.proquest.com/lib/viva-active/detail.action?docID=165141</t>
  </si>
  <si>
    <t>Men Who Sell Sex : International Perspectives on Male Prostitution and HIV/AIDS</t>
  </si>
  <si>
    <t>Social Aspects of AIDS Ser.</t>
  </si>
  <si>
    <t>Aggleton, Peter</t>
  </si>
  <si>
    <t>Social Science; Health</t>
  </si>
  <si>
    <t>Male prostitution. ; Male prostitutes -- Sexual behavior. ; HIV infections -- Prevention.</t>
  </si>
  <si>
    <t>https://ebookcentral.proquest.com/lib/viva-active/detail.action?docID=165448</t>
  </si>
  <si>
    <t>Culture, Society and Sexuality : A Reader</t>
  </si>
  <si>
    <t>Aggleton, Peter;Parker, Richard</t>
  </si>
  <si>
    <t>Social Science</t>
  </si>
  <si>
    <t>Sex. ; Sex customs.</t>
  </si>
  <si>
    <t>https://ebookcentral.proquest.com/lib/viva-active/detail.action?docID=165449</t>
  </si>
  <si>
    <t>Ireland and the Land Question 1800-1922</t>
  </si>
  <si>
    <t>Lancaster Pamphlets Ser.</t>
  </si>
  <si>
    <t>Winstanley, Michael J.</t>
  </si>
  <si>
    <t>Economics; Business/Management; Juvenile Literature</t>
  </si>
  <si>
    <t>Land tenure -- Ireland -- History. ; Land tenure -- Political aspects -- Ireland.</t>
  </si>
  <si>
    <t>https://ebookcentral.proquest.com/lib/viva-active/detail.action?docID=165698</t>
  </si>
  <si>
    <t>Smoke and Mirrors : How Science Reflects Reality</t>
  </si>
  <si>
    <t>Philosophical Issues in Science Ser.</t>
  </si>
  <si>
    <t>Brown, James Robert</t>
  </si>
  <si>
    <t>Realism. ; Science -- Philosophy.</t>
  </si>
  <si>
    <t>https://ebookcentral.proquest.com/lib/viva-active/detail.action?docID=169362</t>
  </si>
  <si>
    <t>Geometric Greece : 900-700 BC</t>
  </si>
  <si>
    <t>Coldstream, J. N.</t>
  </si>
  <si>
    <t>History</t>
  </si>
  <si>
    <t>Civilization, Homeric. ; Greece -- History -- Geometric period, ca. 900-700 B.C. ; Greece -- Antiquities.</t>
  </si>
  <si>
    <t>https://ebookcentral.proquest.com/lib/viva-active/detail.action?docID=182461</t>
  </si>
  <si>
    <t>A Path Toward Gender Equality : State Feminism in Japan</t>
  </si>
  <si>
    <t>East Asia: History, Politics, Sociology and Culture Ser.</t>
  </si>
  <si>
    <t>Kobayashi, Yoshie</t>
  </si>
  <si>
    <t>Japan. -- Rodosho. -- Joseikyoku. ; Women's rights -- Japan. ; Women -- Government policy -- Japan. ; Women -- Employment -- Law and legislation -- Japan.</t>
  </si>
  <si>
    <t>https://ebookcentral.proquest.com/lib/viva-active/detail.action?docID=182897</t>
  </si>
  <si>
    <t>Gender and Civil Society</t>
  </si>
  <si>
    <t>Routledge Advances in International Relations and Global Politics Ser.</t>
  </si>
  <si>
    <t>Howell, Jude;Mulligan, Diane;Mulligan, Diane</t>
  </si>
  <si>
    <t>Women in public life. ; Women in community organization. ; Civil society. ; Feminist theory.</t>
  </si>
  <si>
    <t>https://ebookcentral.proquest.com/lib/viva-active/detail.action?docID=198380</t>
  </si>
  <si>
    <t>Girls, Boys and Junior Sexualities : Exploring Childrens' Gender and Sexual Relations in the Primary School</t>
  </si>
  <si>
    <t>Renold, Emma</t>
  </si>
  <si>
    <t>Enfants et sexualitae</t>
  </si>
  <si>
    <t>https://ebookcentral.proquest.com/lib/viva-active/detail.action?docID=198459</t>
  </si>
  <si>
    <t>Woman's Relationship with Herself : Gender, Foucault and Therapy</t>
  </si>
  <si>
    <t>Women and Psychology Ser.</t>
  </si>
  <si>
    <t>O'Grady, Helen</t>
  </si>
  <si>
    <t>Social Science; Psychology</t>
  </si>
  <si>
    <t>Women - Identity.</t>
  </si>
  <si>
    <t>https://ebookcentral.proquest.com/lib/viva-active/detail.action?docID=199436</t>
  </si>
  <si>
    <t>Identity Politics at Work : Resisting Gender, Gendering Resistance</t>
  </si>
  <si>
    <t>Routledge Studies in Management, Organizations and Society Ser.</t>
  </si>
  <si>
    <t>Mills, Jean Helms;Mills, Albert J.;Thomas, Robyn</t>
  </si>
  <si>
    <t>Business/Management; Economics</t>
  </si>
  <si>
    <t>Sex role in the work environment. ; Industrial relations. ; Labor disputes. ; Organizational behavior. ; Feminist theory.</t>
  </si>
  <si>
    <t>https://ebookcentral.proquest.com/lib/viva-active/detail.action?docID=200548</t>
  </si>
  <si>
    <t>Sex Differences in Labor Markets</t>
  </si>
  <si>
    <t>Routledge Research in Gender and Society Ser.</t>
  </si>
  <si>
    <t>Neumark, David</t>
  </si>
  <si>
    <t>Economics; Business/Management</t>
  </si>
  <si>
    <t>Sex discrimination in employment -- United States. ; Sex discrimination in employment -- Government policy -- United States. ; Affirmative action programs -- United States. ; Pay equity -- United States. ; Work and family -- United States. ; Labor market -- United States.</t>
  </si>
  <si>
    <t>https://ebookcentral.proquest.com/lib/viva-active/detail.action?docID=200797</t>
  </si>
  <si>
    <t>We Real Cool : Black Men and Masculinity</t>
  </si>
  <si>
    <t>hooks, bell</t>
  </si>
  <si>
    <t>History; Social Science</t>
  </si>
  <si>
    <t>Sex role - United States</t>
  </si>
  <si>
    <t>https://ebookcentral.proquest.com/lib/viva-active/detail.action?docID=200865</t>
  </si>
  <si>
    <t>Nation, Society and Culture in North Africa</t>
  </si>
  <si>
    <t>History and Society in the Islamic World Ser.</t>
  </si>
  <si>
    <t>McDougall, James</t>
  </si>
  <si>
    <t>Africa, North - Social life and customs</t>
  </si>
  <si>
    <t>https://ebookcentral.proquest.com/lib/viva-active/detail.action?docID=200960</t>
  </si>
  <si>
    <t>The Queer Composition of America's Sound : Gay Modernists, American Music, and National Identity</t>
  </si>
  <si>
    <t>University of California Press</t>
  </si>
  <si>
    <t>Hubbs, Nadine</t>
  </si>
  <si>
    <t>Fine Arts</t>
  </si>
  <si>
    <t>Gay composers - United States.</t>
  </si>
  <si>
    <t>https://ebookcentral.proquest.com/lib/viva-active/detail.action?docID=223002</t>
  </si>
  <si>
    <t>Sites of Violence : Gender and Conflict Zones</t>
  </si>
  <si>
    <t>Giles, Wenona;Hyndman, Jennifer</t>
  </si>
  <si>
    <t>Political violence.</t>
  </si>
  <si>
    <t>https://ebookcentral.proquest.com/lib/viva-active/detail.action?docID=223959</t>
  </si>
  <si>
    <t>Disgraceful Matters : The Politics of Chastity in Eighteenth-Century China</t>
  </si>
  <si>
    <t>Theiss, Janet;Theiss, Janet</t>
  </si>
  <si>
    <t>Chastity. ; Women -- China -- Social conditions. ; China -- Social conditions -- 1644-1912.</t>
  </si>
  <si>
    <t>https://ebookcentral.proquest.com/lib/viva-active/detail.action?docID=227291</t>
  </si>
  <si>
    <t>The Family of Woman : Lesbian Mothers, Their Children, and the Undoing of Gender</t>
  </si>
  <si>
    <t>Sullivan, Maureen</t>
  </si>
  <si>
    <t>Children of gay parents - United States - Case studies.</t>
  </si>
  <si>
    <t>https://ebookcentral.proquest.com/lib/viva-active/detail.action?docID=227332</t>
  </si>
  <si>
    <t>American Sexual Character : Sex, Gender, and National Identity in the Kinsey Reports</t>
  </si>
  <si>
    <t>Reumann, Miriam G.</t>
  </si>
  <si>
    <t>Kinsey, Alfred C. -- (Alfred Charles), -- 1894-1956. -- Sexual behavior in the human male. ; Institute for Sex Research. -- Sexual behavior in the human female. ; Sex -- United States. ; Gender identity -- United States.</t>
  </si>
  <si>
    <t>https://ebookcentral.proquest.com/lib/viva-active/detail.action?docID=231902</t>
  </si>
  <si>
    <t>Listening to the Sirens : Musical Technologies of Queer Identity from Homer to Hedwig</t>
  </si>
  <si>
    <t>Peraino, Judith;Peraino, Judith</t>
  </si>
  <si>
    <t>Gender identity in music. ; Homosexuality and music. ; Music and literature. ; Music -- History and criticism.</t>
  </si>
  <si>
    <t>https://ebookcentral.proquest.com/lib/viva-active/detail.action?docID=236963</t>
  </si>
  <si>
    <t>Women and Gender in Jewish Philosophy</t>
  </si>
  <si>
    <t>Indiana University Press</t>
  </si>
  <si>
    <t>Tirosh-Samuelson, Hava</t>
  </si>
  <si>
    <t>Jewish philosophy -- Congresses. ; Feminist theory -- Israel -- Congresses. ; Sex role -- Philosophy -- Congresses. ; Sex role -- Israel -- Congresses.</t>
  </si>
  <si>
    <t>https://ebookcentral.proquest.com/lib/viva-active/detail.action?docID=252411</t>
  </si>
  <si>
    <t>Circus Bodies : Cultural Identity in Aerial Performance</t>
  </si>
  <si>
    <t>Tait, Peta</t>
  </si>
  <si>
    <t>Sport &amp;amp; Recreation</t>
  </si>
  <si>
    <t>Acrobatics -- Social aspects.</t>
  </si>
  <si>
    <t>https://ebookcentral.proquest.com/lib/viva-active/detail.action?docID=254251</t>
  </si>
  <si>
    <t>Challenging Hegemonic Masculinity</t>
  </si>
  <si>
    <t>Routledge Advances in Sociology Ser.</t>
  </si>
  <si>
    <t>Howson, Richard</t>
  </si>
  <si>
    <t>Men. ; Masculinity.</t>
  </si>
  <si>
    <t>https://ebookcentral.proquest.com/lib/viva-active/detail.action?docID=254276</t>
  </si>
  <si>
    <t>Genders, Transgenders and Sexualities in Japan</t>
  </si>
  <si>
    <t>Routledge Studies in Asia's Transformations Ser.</t>
  </si>
  <si>
    <t>McLelland, Mark;Dasgupta, Romit</t>
  </si>
  <si>
    <t>Gender identity -- Japan. ; Homosexuality -- Japan. ; Transsexualism -- Japan.</t>
  </si>
  <si>
    <t>https://ebookcentral.proquest.com/lib/viva-active/detail.action?docID=254280</t>
  </si>
  <si>
    <t>Sex and Manners : Female Emancipation in the West 1890 - 2000</t>
  </si>
  <si>
    <t>SAGE Publications</t>
  </si>
  <si>
    <t>Published in association with Theory, Culture &amp; Society</t>
  </si>
  <si>
    <t>Wouters, Cas</t>
  </si>
  <si>
    <t>Women -- Social life and customs -- 20th century. ; Women -- Social life and customs -- Cross-cultural studies. ; Etiquette for women -- History. ; Sexual ethics for women -- History. ; Man-woman relationships -- History.</t>
  </si>
  <si>
    <t>https://ebookcentral.proquest.com/lib/viva-active/detail.action?docID=254816</t>
  </si>
  <si>
    <t>Safer Sex in Personal Relationships : The Role of Sexual Scripts in HIV Infection and Prevention</t>
  </si>
  <si>
    <t>LEA's Series on Personal Relationships Ser.</t>
  </si>
  <si>
    <t>Emmers-Sommer, Tara M.;Allen, Mike</t>
  </si>
  <si>
    <t>Health; Social Science</t>
  </si>
  <si>
    <t>Safe sex in AIDS prevention. ; Couples -- Sexual behavior. ; Interpersonal relations.</t>
  </si>
  <si>
    <t>https://ebookcentral.proquest.com/lib/viva-active/detail.action?docID=255631</t>
  </si>
  <si>
    <t>Transforming Masculinities : Men, Cultures, Bodies, Power, Sex and Love</t>
  </si>
  <si>
    <t>Seidler, Vic</t>
  </si>
  <si>
    <t>Men -- Social conditions. ; Men -- Psychology. ; Men -- Identity. ; Masculinity. ; Sex role.</t>
  </si>
  <si>
    <t>https://ebookcentral.proquest.com/lib/viva-active/detail.action?docID=256938</t>
  </si>
  <si>
    <t>Approximate Bodies : Gender and Power in Early Modern Drama and Anatomy</t>
  </si>
  <si>
    <t>Calbi, Maurizio</t>
  </si>
  <si>
    <t>Literature</t>
  </si>
  <si>
    <t>English drama -- Early modern and Elizabethan, 1500-1600 -- History and criticism. ; Human body in literature. ; English drama -- 17th century -- History and criticism. ; Power (Social sciences) in literature. ; Sex role in literature.</t>
  </si>
  <si>
    <t>https://ebookcentral.proquest.com/lib/viva-active/detail.action?docID=258991</t>
  </si>
  <si>
    <t>Gender in Scottish History Since 1700</t>
  </si>
  <si>
    <t>Edinburgh University Press</t>
  </si>
  <si>
    <t xml:space="preserve">Abrams, Lynn;Gordon, Eleanor;Simonton, Deborah;Yeo, Eileen </t>
  </si>
  <si>
    <t>Social Science; History</t>
  </si>
  <si>
    <t>Sex role -- Scotland -- History. ; Scotland -- History.</t>
  </si>
  <si>
    <t>https://ebookcentral.proquest.com/lib/viva-active/detail.action?docID=264954</t>
  </si>
  <si>
    <t>From Marriage to the Market : The Transformation of Women's Lives and Work</t>
  </si>
  <si>
    <t>Thistle, Susan</t>
  </si>
  <si>
    <t>Economics</t>
  </si>
  <si>
    <t>Women -- Employment -- United States -- History -- 20th century. ; Women -- United States -- Economic conditions. ; Women -- United States -- Social conditions. ; Work and family -- United States.</t>
  </si>
  <si>
    <t>https://ebookcentral.proquest.com/lib/viva-active/detail.action?docID=265553</t>
  </si>
  <si>
    <t>Sexing the Church : Gender, Power, and Ethics in Contemporary Catholicism</t>
  </si>
  <si>
    <t>Kalbian, Aline H.</t>
  </si>
  <si>
    <t>Religion</t>
  </si>
  <si>
    <t>Sex -- Religious aspects -- Catholic Church.</t>
  </si>
  <si>
    <t>https://ebookcentral.proquest.com/lib/viva-active/detail.action?docID=267709</t>
  </si>
  <si>
    <t>From the Kitchen to the Parlor : Language and Becoming in African American Women's Hair Care</t>
  </si>
  <si>
    <t>Oxford University Press, Incorporated</t>
  </si>
  <si>
    <t>Studies in Language, Gender, and Sexuality Ser.</t>
  </si>
  <si>
    <t>Jacobs-Huey, Lanita</t>
  </si>
  <si>
    <t>Social Science; Fine Arts</t>
  </si>
  <si>
    <t>African American women - History</t>
  </si>
  <si>
    <t>https://ebookcentral.proquest.com/lib/viva-active/detail.action?docID=271521</t>
  </si>
  <si>
    <t>Romance and Sex in Adolescence and Emerging Adulthood : Risks and Opportunities</t>
  </si>
  <si>
    <t>Penn State University Family Issues Symposia Ser.</t>
  </si>
  <si>
    <t>Crouter, Ann C.;Booth, Alan;Bryant, Chalandra M.</t>
  </si>
  <si>
    <t>Teenagers -- Sexual behavior. ; Risk-taking (Psychology) in adolescence.</t>
  </si>
  <si>
    <t>https://ebookcentral.proquest.com/lib/viva-active/detail.action?docID=274546</t>
  </si>
  <si>
    <t>Gender and War in Twentieth-Century Eastern Europe</t>
  </si>
  <si>
    <t>Wingfield, Nancy M.;Bucur, Maria</t>
  </si>
  <si>
    <t>Sex role -- Europe, Eastern. ; Europe, Eastern -- History, Military -- 20th century.</t>
  </si>
  <si>
    <t>https://ebookcentral.proquest.com/lib/viva-active/detail.action?docID=282521</t>
  </si>
  <si>
    <t>In Amma's Healing Room : Gender and Vernacular Islam in South India</t>
  </si>
  <si>
    <t>Flueckiger, Joyce Burkhalter</t>
  </si>
  <si>
    <t>Muslim women -- India -- Hyderabad (District) ; Healers -- India -- Hyderabad (District) -- Biography. ; Hyderabad (India : District) -- Social life and customs.</t>
  </si>
  <si>
    <t>https://ebookcentral.proquest.com/lib/viva-active/detail.action?docID=283663</t>
  </si>
  <si>
    <t>Sexual Inequalities and Social Justice</t>
  </si>
  <si>
    <t>Herdt, Gilbert H.;Teunis, Niels;Parker, Richard ;Herdt, Gilbert H.;Herdt, Gilbert H.</t>
  </si>
  <si>
    <t>Gender. ; Sex. ; Equality. ; Social justice. ; Social action. ; Ethnicity.</t>
  </si>
  <si>
    <t>https://ebookcentral.proquest.com/lib/viva-active/detail.action?docID=284432</t>
  </si>
  <si>
    <t>Queering Freedom</t>
  </si>
  <si>
    <t>Winnubst, Shannon</t>
  </si>
  <si>
    <t>Liberty. ; Boundaries -- Social aspects. ; Differentiation (Sociology) ; Dominance (Psychology) ; Power (Social sciences)</t>
  </si>
  <si>
    <t>https://ebookcentral.proquest.com/lib/viva-active/detail.action?docID=288358</t>
  </si>
  <si>
    <t>Asperger's Syndrome and Sexuality : From Adolescence Through Adulthood</t>
  </si>
  <si>
    <t>Jessica Kingsley Publishers</t>
  </si>
  <si>
    <t>Henault, Isabelle;Attwood, Tony;Attwood, Tony</t>
  </si>
  <si>
    <t>Medicine; Psychology</t>
  </si>
  <si>
    <t>Asperger's syndrome -- Patients -- Sexual behavior -- Popular works. ; Autism.</t>
  </si>
  <si>
    <t>https://ebookcentral.proquest.com/lib/viva-active/detail.action?docID=290718</t>
  </si>
  <si>
    <t>EBOOK: Masculinities in Mathematics</t>
  </si>
  <si>
    <t>McGraw-Hill Education</t>
  </si>
  <si>
    <t>UK Higher Education OUP Humanities and Social Sciences Education OUP Ser.</t>
  </si>
  <si>
    <t>Mendick, Heather</t>
  </si>
  <si>
    <t>Mathematics</t>
  </si>
  <si>
    <t>Mathematics -- Study and teaching -- Psychological aspects. ; Mathematical ability -- Sex differences. ; Sex differences in education.</t>
  </si>
  <si>
    <t>https://ebookcentral.proquest.com/lib/viva-active/detail.action?docID=292122</t>
  </si>
  <si>
    <t>EBOOK: So What's a Boy?</t>
  </si>
  <si>
    <t>Martino, Wayne;Pallotta-Chiarolli, Maria</t>
  </si>
  <si>
    <t>Education</t>
  </si>
  <si>
    <t>Masculinity -- Australia. ; Boys -- Education -- Social aspects -- Australia. ; Sex differences in education -- Social aspects -- Australia. ; Gender identity.</t>
  </si>
  <si>
    <t>https://ebookcentral.proquest.com/lib/viva-active/detail.action?docID=292131</t>
  </si>
  <si>
    <t>Feminist Philosophies A-Z</t>
  </si>
  <si>
    <t>Philosophy A-Z EUP</t>
  </si>
  <si>
    <t xml:space="preserve">McHugh, Nancy Arden;Leaman, Oliver </t>
  </si>
  <si>
    <t>Feminist theory -- Terminology. ; Feminist theory -- Encyclopedias.</t>
  </si>
  <si>
    <t>https://ebookcentral.proquest.com/lib/viva-active/detail.action?docID=292362</t>
  </si>
  <si>
    <t>EBOOK: Raising Boys' Achievement in Primary Schools</t>
  </si>
  <si>
    <t>Warrington, Molly;Younger, Mike</t>
  </si>
  <si>
    <t>Teenage boys -- Education (Primary) -- Evaluation. ; Academic achievement -- Sex differences. ; Sex differences in education. ; Motivation in education. ; Underachievers.</t>
  </si>
  <si>
    <t>https://ebookcentral.proquest.com/lib/viva-active/detail.action?docID=295522</t>
  </si>
  <si>
    <t>Africa After Gender?</t>
  </si>
  <si>
    <t>Cole, Catherine M.;Manuh, Takyiwaa;Miescher, Stephan F.</t>
  </si>
  <si>
    <t>Sex role -- Africa. ; Sex role -- Research -- Africa.</t>
  </si>
  <si>
    <t>https://ebookcentral.proquest.com/lib/viva-active/detail.action?docID=297552</t>
  </si>
  <si>
    <t>Same-Sex Marriage : The Personal and the Political</t>
  </si>
  <si>
    <t>Insomniac Press</t>
  </si>
  <si>
    <t>Alderson, Kevin;Lahey, Kathleen</t>
  </si>
  <si>
    <t>Same-sex marriage. ; Gay couples -- Interviews.</t>
  </si>
  <si>
    <t>https://ebookcentral.proquest.com/lib/viva-active/detail.action?docID=299663</t>
  </si>
  <si>
    <t>African Masculinities : Men in Africa from the Late Nineteenth Century to the Present</t>
  </si>
  <si>
    <t>Palgrave Macmillan US</t>
  </si>
  <si>
    <t>Ouzgane, L.;Morrell, R.</t>
  </si>
  <si>
    <t>Men -- Africa. ; Masculinity -- Africa. ; Blacks. ; Race relations.</t>
  </si>
  <si>
    <t>https://ebookcentral.proquest.com/lib/viva-active/detail.action?docID=307566</t>
  </si>
  <si>
    <t>Beautiful Boys/Outlaw Bodies : Devising Kabuki Female-Likeness</t>
  </si>
  <si>
    <t>Mezur, K.</t>
  </si>
  <si>
    <t>Fine Arts; Social Science</t>
  </si>
  <si>
    <t>Kabuki. ; Female impersonators -- Japan.</t>
  </si>
  <si>
    <t>https://ebookcentral.proquest.com/lib/viva-active/detail.action?docID=307623</t>
  </si>
  <si>
    <t>Conflict and Counterpoint in Lesbian, Gay, and Feminist Studies</t>
  </si>
  <si>
    <t>Foertsch, J.</t>
  </si>
  <si>
    <t>Gay and lesbian studies. ; Women's studies. ; Feminist theory.</t>
  </si>
  <si>
    <t>https://ebookcentral.proquest.com/lib/viva-active/detail.action?docID=307687</t>
  </si>
  <si>
    <t>Dialogue and Deviance : Male-Male Desire in the Dialogue Genre (Plato to Aelred, Plato to Sade, Plato to the Postmodern)</t>
  </si>
  <si>
    <t>Sturges, R.</t>
  </si>
  <si>
    <t>Homosexuality in literature. ; Dialogue.</t>
  </si>
  <si>
    <t>https://ebookcentral.proquest.com/lib/viva-active/detail.action?docID=307746</t>
  </si>
  <si>
    <t>Gay and Lesbian Historical Fiction : Sexual Mystery and Post-Secular Narrative</t>
  </si>
  <si>
    <t>Jones, N.</t>
  </si>
  <si>
    <t>Literature; Social Science</t>
  </si>
  <si>
    <t>Gays' writings, American -- History and criticism -- Theory, etc. ; Gays' writings, English -- History and criticism -- Theory, etc. ; Homosexuality in literature. ; Homosexuality and literature -- United States -- History -- 20th century. ; Homosexuality and literature -- England -- History -- 20th century. ; American literature -- 20th century -- History and criticism. ; English literature -- 20th century -- History and criticism.</t>
  </si>
  <si>
    <t>https://ebookcentral.proquest.com/lib/viva-active/detail.action?docID=307809</t>
  </si>
  <si>
    <t>Gentlemen Callers : Tennessee Williams, Homosexuality, and Mid-Twentieth-Century Drama</t>
  </si>
  <si>
    <t>Paller, M.</t>
  </si>
  <si>
    <t>Williams, Tennessee, -- 1911-1983 -- Criticism and interpretation. ; Homosexuality and literature -- United States -- History -- 20th century. ; Male homosexuality in literature. ; Sexual orientation in literature. ; Gay men in literature. ; Sex in literature.</t>
  </si>
  <si>
    <t>https://ebookcentral.proquest.com/lib/viva-active/detail.action?docID=307816</t>
  </si>
  <si>
    <t>Imperialism Within the Margins : Queer Representation and the Politics of Culture in Southern Africa</t>
  </si>
  <si>
    <t>Spurlin, W.</t>
  </si>
  <si>
    <t>Homosexuality -- Africa, Southern. ; Gays -- Africa, Southern -- Political activity. ; Same-sex marriage -- Africa, Southern. ; Gays in popular culture -- Africa, Southern. ; Africa, Southern -- Social life and customs. ; Africa, Southern -- Politics and government.</t>
  </si>
  <si>
    <t>https://ebookcentral.proquest.com/lib/viva-active/detail.action?docID=307880</t>
  </si>
  <si>
    <t>Men Beyond Desire : Manhood, Sex, and Violation in American Literature</t>
  </si>
  <si>
    <t>Greven, David</t>
  </si>
  <si>
    <t>American literature -- 19th century -- History and criticism. ; Masculinity in literature. ; Social isolation in literature. ; Self-control in literature. ; Chastity in literature. ; Sex role in literature. ; Violence in literature.</t>
  </si>
  <si>
    <t>https://ebookcentral.proquest.com/lib/viva-active/detail.action?docID=307970</t>
  </si>
  <si>
    <t>National Police Gazette and the Making of the Modern American Man, 1879-1906</t>
  </si>
  <si>
    <t>Reel, G.</t>
  </si>
  <si>
    <t>National police gazette (New York, N.Y.) ; Masculinity -- United States -- History. ; Sex role -- United States -- History. ; Sensationalism in journalism -- United States -- History. ; Crime and the press -- United States -- History. ; Sports -- United States -- History. ; Sex -- Press coverage -- United States -- History.</t>
  </si>
  <si>
    <t>https://ebookcentral.proquest.com/lib/viva-active/detail.action?docID=307994</t>
  </si>
  <si>
    <t>Performing Libertinism in Charles II's Court : Politics, Drama, Sexuality</t>
  </si>
  <si>
    <t>Webster, J.</t>
  </si>
  <si>
    <t>English drama -- Restoration, 1660-1700 -- History and criticism. ; Libertinism in literature. ; Politics and literature -- Great Britain -- History -- 17th century. ; Sex in literature. ; Great Britain -- Court and courtiers -- History -- 17th century. ; Great Britain -- Politics and government -- 1660-1688.</t>
  </si>
  <si>
    <t>https://ebookcentral.proquest.com/lib/viva-active/detail.action?docID=308027</t>
  </si>
  <si>
    <t>Queer Popular Culture : Literature, Media, Film, and Television</t>
  </si>
  <si>
    <t>Peele, T.</t>
  </si>
  <si>
    <t>Social Science; Literature</t>
  </si>
  <si>
    <t>America-Literatures</t>
  </si>
  <si>
    <t>https://ebookcentral.proquest.com/lib/viva-active/detail.action?docID=308059</t>
  </si>
  <si>
    <t>Religion, Gender, and Culture in the Pre-Modern World</t>
  </si>
  <si>
    <t>Religion/Culture/Critique Ser.</t>
  </si>
  <si>
    <t>Britt, B.;Cuffel, A.</t>
  </si>
  <si>
    <t>Gender identity -- History. ; Sex differences -- History. ; Anthropology of religion. ; Ethnic relations -- History.</t>
  </si>
  <si>
    <t>https://ebookcentral.proquest.com/lib/viva-active/detail.action?docID=308094</t>
  </si>
  <si>
    <t>Sapphic Modernities : Sexuality, Women and National Culture</t>
  </si>
  <si>
    <t>Doan, L.;Garrity, J.</t>
  </si>
  <si>
    <t>Lesbians -- Identity. ; Gays in popular culture. ; Lesbians -- Social life and customs.</t>
  </si>
  <si>
    <t>https://ebookcentral.proquest.com/lib/viva-active/detail.action?docID=308119</t>
  </si>
  <si>
    <t>Staging Politics and Gender : French Women's Drama, 1880-1923</t>
  </si>
  <si>
    <t>Beach, C.</t>
  </si>
  <si>
    <t>French drama -- 19th century -- History and criticism. ; French drama -- 20th century -- History and criticism. ; French drama -- Women authors -- History and criticism. ; Women and literature -- France -- History -- 20th century.</t>
  </si>
  <si>
    <t>https://ebookcentral.proquest.com/lib/viva-active/detail.action?docID=308154</t>
  </si>
  <si>
    <t>Theatre under Louis XIV : Cross-Casting and the Performance of Gender in Drama, Ballet and Opera</t>
  </si>
  <si>
    <t>Prest, J.</t>
  </si>
  <si>
    <t>Theater-History</t>
  </si>
  <si>
    <t>https://ebookcentral.proquest.com/lib/viva-active/detail.action?docID=308330</t>
  </si>
  <si>
    <t>Unrequited Love and Gay Latino Culture : What Have You Done to My Heart?</t>
  </si>
  <si>
    <t>Contreras, D.</t>
  </si>
  <si>
    <t>Popular culture -- United States. ; Arts, American -- 20th century. ; Love in literature. ; Suffering in literature. ; United States -- Social life and customs -- 1971-</t>
  </si>
  <si>
    <t>https://ebookcentral.proquest.com/lib/viva-active/detail.action?docID=308365</t>
  </si>
  <si>
    <t>Women's Sexualities and Masculinities in a Globalizing Asia</t>
  </si>
  <si>
    <t>Comparative Feminist Studies</t>
  </si>
  <si>
    <t>Wieringa, S.;Blackwood, E.;Bhaiya, A.;Wieringa, Saskia;Bhaiya, Abha</t>
  </si>
  <si>
    <t>Lesbianism -- Asia. ; Lesbians -- Asia -- Social conditions.</t>
  </si>
  <si>
    <t>https://ebookcentral.proquest.com/lib/viva-active/detail.action?docID=308409</t>
  </si>
  <si>
    <t>Queer Constellations : Subcultural Space in the Wake of the City</t>
  </si>
  <si>
    <t>University of Minnesota Press</t>
  </si>
  <si>
    <t>Chisholm, Dianne</t>
  </si>
  <si>
    <t>Benjamin, Walter, -- 1892-1940. ; Gays' writings -- History and criticism. ; Homosexuality in literature. ; Cities and towns in literature.</t>
  </si>
  <si>
    <t>https://ebookcentral.proquest.com/lib/viva-active/detail.action?docID=310686</t>
  </si>
  <si>
    <t>Confessions of the Letter Closet : Epistolary Fiction and Queer Desire in Modern Spain</t>
  </si>
  <si>
    <t>Garlinger, Patrick Paul</t>
  </si>
  <si>
    <t>MacMillan, Viola. ; Women miners -- Canada -- Biography. ; Businesswomen -- Canada -- Biography.</t>
  </si>
  <si>
    <t>https://ebookcentral.proquest.com/lib/viva-active/detail.action?docID=310709</t>
  </si>
  <si>
    <t>Next to the Color Line : Gender, Sexuality, and W. E. B. Du Bois</t>
  </si>
  <si>
    <t>Critical American Studies</t>
  </si>
  <si>
    <t>Gillman, Susan;Weinbaum, Alys Eve</t>
  </si>
  <si>
    <t>Du Bois, W. E. B. -- (William Edward Burghardt), -- 1868-1963 -- Political and social views. ; Du Bois, W. E. B. -- (William Edward Burghardt), -- 1868-1963 -- Criticism and interpretation. ; Sex role -- United States. ; Feminism -- United States. ; African Americans -- Politics and government. ; African Americans -- Social conditions. ; African American women in literature.</t>
  </si>
  <si>
    <t>https://ebookcentral.proquest.com/lib/viva-active/detail.action?docID=310767</t>
  </si>
  <si>
    <t>Queer Lives : Men's Autobiographies from Nineteenth-Century France</t>
  </si>
  <si>
    <t>University of Nebraska Press</t>
  </si>
  <si>
    <t xml:space="preserve">Peniston, William A.;Erber, Nancy;Peniston, William A. </t>
  </si>
  <si>
    <t>Gay men -- France -- Biography. ; Male homosexuality -- France -- Case studies. ; Gay men -- France -- History -- 19th century.</t>
  </si>
  <si>
    <t>https://ebookcentral.proquest.com/lib/viva-active/detail.action?docID=313335</t>
  </si>
  <si>
    <t>Uneasy Warriors : Gender, Memory, and Popular Culture in the Japanese Army</t>
  </si>
  <si>
    <t xml:space="preserve">ühstück, Sabine;Fruhstuck, Sabine </t>
  </si>
  <si>
    <t>Military Science; Social Science</t>
  </si>
  <si>
    <t>Japan - Armed Forces - Women</t>
  </si>
  <si>
    <t>https://ebookcentral.proquest.com/lib/viva-active/detail.action?docID=314082</t>
  </si>
  <si>
    <t>Being Boys; Being Girls : Learning Masculinities And Femininities</t>
  </si>
  <si>
    <t>Paechter, Carrie</t>
  </si>
  <si>
    <t>Psychology</t>
  </si>
  <si>
    <t>Sex differences (Psychology) in adolescence -- Great Britain. ; Personality in adolescence -- Great Britain.</t>
  </si>
  <si>
    <t>https://ebookcentral.proquest.com/lib/viva-active/detail.action?docID=316312</t>
  </si>
  <si>
    <t>Queer Migrations : Sexuality, U.S. Citizenship, and Border Crossings</t>
  </si>
  <si>
    <t>Luibhéid, Eithne;Cantú, Lionel</t>
  </si>
  <si>
    <t>South West Local Health Integration Network (Ont.) ; South West Local Health Integration Network (Ont.) ; Hospital utilization -- Ontario. ; Hospitals -- utilization -- Ontario.</t>
  </si>
  <si>
    <t>https://ebookcentral.proquest.com/lib/viva-active/detail.action?docID=316705</t>
  </si>
  <si>
    <t>Women in the American West : Women in the American West</t>
  </si>
  <si>
    <t>ABC-CLIO, LLC</t>
  </si>
  <si>
    <t>Cultures in the American West Ser.</t>
  </si>
  <si>
    <t>Woodworth-Ney, Laura;Woodworth-Ney, Laura E.</t>
  </si>
  <si>
    <t>Women - West (U.S.) - Social conditions</t>
  </si>
  <si>
    <t>https://ebookcentral.proquest.com/lib/viva-active/detail.action?docID=317929</t>
  </si>
  <si>
    <t>Living Gender after Communism</t>
  </si>
  <si>
    <t>Johnson, Janet Elise;Robinson, Jean C.</t>
  </si>
  <si>
    <t>Women -- Europe -- History -- 20th century. ; Feminism -- Europe -- History -- 20th century. ; Women -- Europe -- Social conditions -- 20th century. ; Post-communism -- Europe -- History -- 20th century.</t>
  </si>
  <si>
    <t>https://ebookcentral.proquest.com/lib/viva-active/detail.action?docID=319217</t>
  </si>
  <si>
    <t>Politics of Touch : Sense, Movement, Sovereignty</t>
  </si>
  <si>
    <t>Manning, Erin</t>
  </si>
  <si>
    <t>Political Science</t>
  </si>
  <si>
    <t>Behaviorism (Political science) ; Touch -- Political aspects. ; Sex role -- Political aspects. ; Tango (Dance) -- Social aspects.</t>
  </si>
  <si>
    <t>https://ebookcentral.proquest.com/lib/viva-active/detail.action?docID=322593</t>
  </si>
  <si>
    <t>Images of Bliss : Ejaculation, Masculinity, Meaning</t>
  </si>
  <si>
    <t>Aydemir, Murat</t>
  </si>
  <si>
    <t>Science: Anatomy/Physiology; Science; Science: Biology/Natural History</t>
  </si>
  <si>
    <t>Generative organs, Male -- Philosophy. ; Human reproduction -- Philosophy. ; Ejaculation -- Philosophy. ; Penis -- Philosophy. ; Masculinity.</t>
  </si>
  <si>
    <t>https://ebookcentral.proquest.com/lib/viva-active/detail.action?docID=322594</t>
  </si>
  <si>
    <t>Cinematic Identity : Anatomy of a Problem Film</t>
  </si>
  <si>
    <t>Patton, Cindy</t>
  </si>
  <si>
    <t>Minorities in motion pictures. ; Motion pictures -- United States. ; Social problems in motion pictures.</t>
  </si>
  <si>
    <t>https://ebookcentral.proquest.com/lib/viva-active/detail.action?docID=328370</t>
  </si>
  <si>
    <t>Imperial White : Race, Diaspora, and the British Empire</t>
  </si>
  <si>
    <t>Mohanram, Radhika</t>
  </si>
  <si>
    <t>Ethnicity -- Great Britain -- Colonies -- History -- 19th century. ; Ethnicity -- Great Britain -- History -- 19th century. ; Sex role -- Great Britain -- Colonies -- History -- 19th century. ; Sex role -- Great Britain -- History -- 19th century. ; Whites -- Race identity -- Great Britain -- Colonies -- History -- 19th century. ; Whites -- Race identity -- Great Britain -- History -- 19th century. ; Great Britain -- Colonies -- Race relations.</t>
  </si>
  <si>
    <t>https://ebookcentral.proquest.com/lib/viva-active/detail.action?docID=328378</t>
  </si>
  <si>
    <t>Armed Forces : Masculinity and Sexuality in the American War Film</t>
  </si>
  <si>
    <t>Rutgers University Press</t>
  </si>
  <si>
    <t>Eberwein, Robert T.;Eberwein, Robert</t>
  </si>
  <si>
    <t>War films -- United States -- History and criticism. ; Male friendship in motion pictures. ; Masculinity in motion pictures.</t>
  </si>
  <si>
    <t>https://ebookcentral.proquest.com/lib/viva-active/detail.action?docID=328688</t>
  </si>
  <si>
    <t>Get Real about Sex : The Politics and Practice of Sex Education</t>
  </si>
  <si>
    <t>Alldred, Pam;David, Miriam</t>
  </si>
  <si>
    <t>Sex instruction -- Great Britain. ; Sex instruction -- Government policy -- Great Britain. ; Sex instruction for youth. ; Masculinity -- Great Britain. ; Femininity -- Great Britain.</t>
  </si>
  <si>
    <t>https://ebookcentral.proquest.com/lib/viva-active/detail.action?docID=332660</t>
  </si>
  <si>
    <t>Gender and Work in Capitalist Economies</t>
  </si>
  <si>
    <t>UK Higher Education OUP Humanities and Social Sciences Sociology Ser.</t>
  </si>
  <si>
    <t>Odih, Pam</t>
  </si>
  <si>
    <t>Social Science; Business/Management</t>
  </si>
  <si>
    <t>Hours of labor. ; Industries -- Social aspects. ; Sex role in the work environment. ; Women -- Employment.</t>
  </si>
  <si>
    <t>https://ebookcentral.proquest.com/lib/viva-active/detail.action?docID=332686</t>
  </si>
  <si>
    <t>EBOOK: Understanding Men and Health: Masculinities, Identity and Well-Being</t>
  </si>
  <si>
    <t>UK Higher Education OUP Humanities and Social Sciences Health and Social Welfare Ser.</t>
  </si>
  <si>
    <t>Robertson, Steve</t>
  </si>
  <si>
    <t>Men -- Health and hygiene -- Great Britain. ; Men -- Health and hygiene -- Social aspects -- Great Britain. ; Men -- Health and hygiene -- Great Britain -- Psychological aspects.</t>
  </si>
  <si>
    <t>https://ebookcentral.proquest.com/lib/viva-active/detail.action?docID=332689</t>
  </si>
  <si>
    <t>EBOOK: Rethinking Single Sex Teaching</t>
  </si>
  <si>
    <t>Ivinson, Gabrielle;Murphy, Patricia</t>
  </si>
  <si>
    <t>Single-sex schools. ; Sex differences in education.</t>
  </si>
  <si>
    <t>https://ebookcentral.proquest.com/lib/viva-active/detail.action?docID=332721</t>
  </si>
  <si>
    <t>Gender and Health : The Effects of Constrained Choices and Social Policies</t>
  </si>
  <si>
    <t>Cambridge University Press</t>
  </si>
  <si>
    <t>Bird, Chloe E.;Rieker, Patricia P.</t>
  </si>
  <si>
    <t>Health; Medicine</t>
  </si>
  <si>
    <t>Sex factors in disease</t>
  </si>
  <si>
    <t>https://ebookcentral.proquest.com/lib/viva-active/detail.action?docID=335020</t>
  </si>
  <si>
    <t>Same-Sex Marriage and the Constitution</t>
  </si>
  <si>
    <t>Gerstmann, Evan</t>
  </si>
  <si>
    <t>Law</t>
  </si>
  <si>
    <t>Same-sex marriage--Law and legislation--United States</t>
  </si>
  <si>
    <t>https://ebookcentral.proquest.com/lib/viva-active/detail.action?docID=335066</t>
  </si>
  <si>
    <t>The Handbook of Sexuality in Close Relationships</t>
  </si>
  <si>
    <t>Harvey, John H.;Wenzel, Amy;Sprecher, Susan</t>
  </si>
  <si>
    <t>Sex. ; Sex customs. ; Couples.</t>
  </si>
  <si>
    <t>https://ebookcentral.proquest.com/lib/viva-active/detail.action?docID=335522</t>
  </si>
  <si>
    <t>Psychophysiology of Sex</t>
  </si>
  <si>
    <t>Janssen, Erick</t>
  </si>
  <si>
    <t>Psychology; Medicine</t>
  </si>
  <si>
    <t>Sexual disorders -- Congresses. ; Sex (Psychology) -- Congresses. ; Sex (Biology) -- Congresses. ; Psychophysiology</t>
  </si>
  <si>
    <t>https://ebookcentral.proquest.com/lib/viva-active/detail.action?docID=339110</t>
  </si>
  <si>
    <t>Sexual Demon of Colonial Power : Pan-African Embodiment and Erotic Schemes of Empire</t>
  </si>
  <si>
    <t>Thomas, Greg</t>
  </si>
  <si>
    <t>Blacks -- Social conditions. ; Sex role. ; African Americans -- Social conditions. ; Sex role -- United States. ; Race relations. ; White supremacy movements. ; Imperialism.</t>
  </si>
  <si>
    <t>https://ebookcentral.proquest.com/lib/viva-active/detail.action?docID=339113</t>
  </si>
  <si>
    <t>Isherwood on Writing : The Lectures in California</t>
  </si>
  <si>
    <t>Isherwood, Christopher;Berg, James J.;Summers, Claude</t>
  </si>
  <si>
    <t>Isherwood, Christopher, -- 1904-1986. ; Fiction -- Authorship. ; Authorship.</t>
  </si>
  <si>
    <t>https://ebookcentral.proquest.com/lib/viva-active/detail.action?docID=340768</t>
  </si>
  <si>
    <t>African Intimacies : Race, Homosexuality, and Globalization</t>
  </si>
  <si>
    <t>Hoad, Neville</t>
  </si>
  <si>
    <t>Homosexuality -- Africa. ; Gays -- Africa -- History. ; AIDS (Disease) -- Africa. ; HIV infections -- Africa. ; Africa -- Social life and customs. ; Africa -- Politics and government.</t>
  </si>
  <si>
    <t>https://ebookcentral.proquest.com/lib/viva-active/detail.action?docID=340770</t>
  </si>
  <si>
    <t>Queer Inclusion in the United Methodist Church</t>
  </si>
  <si>
    <t>New Approaches in Sociology Ser.</t>
  </si>
  <si>
    <t>Udis-Kessler, Amanda</t>
  </si>
  <si>
    <t>United Methodist Church (U.S.) - Doctrines</t>
  </si>
  <si>
    <t>https://ebookcentral.proquest.com/lib/viva-active/detail.action?docID=342960</t>
  </si>
  <si>
    <t>Hate Is the Sin : Putting Faces on the Debate over Human Sexuality</t>
  </si>
  <si>
    <t>Munday, John S.</t>
  </si>
  <si>
    <t>Homosexuality - Religious aspects - Lutheran Church</t>
  </si>
  <si>
    <t>https://ebookcentral.proquest.com/lib/viva-active/detail.action?docID=345087</t>
  </si>
  <si>
    <t>Lydia's Open Door : Inside Mexico's Most Modern Brothel</t>
  </si>
  <si>
    <t>Kelly, Patty</t>
  </si>
  <si>
    <t>Prostitutes -- Mexico -- Tuxtla Gutiérrez. ; Prostitution -- Mexico -- Tuxtla Gutiérrez.</t>
  </si>
  <si>
    <t>https://ebookcentral.proquest.com/lib/viva-active/detail.action?docID=345551</t>
  </si>
  <si>
    <t>World of Gangs : Armed Young Men and Gangsta Culture</t>
  </si>
  <si>
    <t>Globalization and Community</t>
  </si>
  <si>
    <t>Hagedorn, John M. M.;Davis, Mike</t>
  </si>
  <si>
    <t>Gangs.</t>
  </si>
  <si>
    <t>https://ebookcentral.proquest.com/lib/viva-active/detail.action?docID=349976</t>
  </si>
  <si>
    <t>R U Listenin? : Helping Defiant Men to Recognize Their True Potential</t>
  </si>
  <si>
    <t>Bianchini, Terry</t>
  </si>
  <si>
    <t>Criminal psychology -- Great Britain. ; Men -- Great Britain -- Attitudes. ; Men -- Great Britain -- Conduct of life. ; Men -- Counseling of.</t>
  </si>
  <si>
    <t>https://ebookcentral.proquest.com/lib/viva-active/detail.action?docID=350376</t>
  </si>
  <si>
    <t>A Companion to Lesbian, Gay, Bisexual, Transgender, and Queer Studies</t>
  </si>
  <si>
    <t>John Wiley &amp; Sons, Incorporated</t>
  </si>
  <si>
    <t>Blackwell Companions in Cultural Studies</t>
  </si>
  <si>
    <t>Haggerty, George E.;McGarry, Molly</t>
  </si>
  <si>
    <t>Gay and lesbian studies. ; Sexual minorities.</t>
  </si>
  <si>
    <t>https://ebookcentral.proquest.com/lib/viva-active/detail.action?docID=350877</t>
  </si>
  <si>
    <t>Same-Sex Cultures and Sexualities : An Anthropological Reader</t>
  </si>
  <si>
    <t>Wiley Blackwell Readers in Anthropology Ser.</t>
  </si>
  <si>
    <t>Robertson, Jennifer</t>
  </si>
  <si>
    <t>Homosexuality. ; Lesbianism. ; Gay and lesbian studies. ; Gay men. ; Lesbians.</t>
  </si>
  <si>
    <t>https://ebookcentral.proquest.com/lib/viva-active/detail.action?docID=351419</t>
  </si>
  <si>
    <t>Working with Men in Health and Social Care</t>
  </si>
  <si>
    <t>Featherstone, Brid;Rivett, Mark;Scourfield, Jonathan</t>
  </si>
  <si>
    <t>Men -- Health and hygiene. ; Social work with men -- Great Britain.</t>
  </si>
  <si>
    <t>https://ebookcentral.proquest.com/lib/viva-active/detail.action?docID=354869</t>
  </si>
  <si>
    <t>Social Geographies : From Difference to Action</t>
  </si>
  <si>
    <t>Panelli, Ruth</t>
  </si>
  <si>
    <t>Environmental Studies; Social Science</t>
  </si>
  <si>
    <t>Social geography - Methodology</t>
  </si>
  <si>
    <t>https://ebookcentral.proquest.com/lib/viva-active/detail.action?docID=354920</t>
  </si>
  <si>
    <t>Creating Gender-Fair Schools, Classrooms and Colleges : Engendering Social Justice For 14 to 19 year olds</t>
  </si>
  <si>
    <t>Lucky Duck Books</t>
  </si>
  <si>
    <t>Raphael Reed, Lynn;Rae, Tina</t>
  </si>
  <si>
    <t>Sex differences in education -- Great Britain. ; Discrimination in education -- Great Britain -- Prevention. ; Multicultural education -- Great Britain. ; Sex differences (Psychology) in children -- Great Britain. ; Sex role in children -- Great Britain. ; Education, Secondary -- Great Britain.</t>
  </si>
  <si>
    <t>https://ebookcentral.proquest.com/lib/viva-active/detail.action?docID=354969</t>
  </si>
  <si>
    <t>Language and Sexism</t>
  </si>
  <si>
    <t>Mills, Sara</t>
  </si>
  <si>
    <t>Language/Linguistics; Social Science</t>
  </si>
  <si>
    <t>Sexism in language. ; Language and languages -- Sex differences.</t>
  </si>
  <si>
    <t>https://ebookcentral.proquest.com/lib/viva-active/detail.action?docID=358852</t>
  </si>
  <si>
    <t>Security Disarmed : Critical Perspectives on Gender, Race, and Militarization</t>
  </si>
  <si>
    <t>Sutton, Barbara;Morgen, Sandra;Novkov, Julie;McCaffrey, Katherine T.;Kirk, Gwyn;Lee, Barbara;Stephen, Lynn;Bahramitash, Roksana;Teaiwa, Teresia;McFadden, Patricia</t>
  </si>
  <si>
    <t>Social Science; Military Science</t>
  </si>
  <si>
    <t>Women and the military</t>
  </si>
  <si>
    <t>https://ebookcentral.proquest.com/lib/viva-active/detail.action?docID=361665</t>
  </si>
  <si>
    <t>Queer Cinema in Europe</t>
  </si>
  <si>
    <t>Intellect Books Ltd</t>
  </si>
  <si>
    <t>Griffiths, Robin</t>
  </si>
  <si>
    <t>Homosexuality in motion pictures. ; Motion pictures -- Europe -- History.</t>
  </si>
  <si>
    <t>https://ebookcentral.proquest.com/lib/viva-active/detail.action?docID=361749</t>
  </si>
  <si>
    <t>Women, Family, and Gender in Islamic Law</t>
  </si>
  <si>
    <t>Themes in Islamic Law</t>
  </si>
  <si>
    <t>Tucker, Judith E.</t>
  </si>
  <si>
    <t>Domestic relations (Islamic law)</t>
  </si>
  <si>
    <t>https://ebookcentral.proquest.com/lib/viva-active/detail.action?docID=367052</t>
  </si>
  <si>
    <t>From Perverts to Fab Five : The Media's Changing Depiction of Gay Men and Lesbians</t>
  </si>
  <si>
    <t>Streitmatter, Rodger</t>
  </si>
  <si>
    <t>Lesbians in mass media</t>
  </si>
  <si>
    <t>https://ebookcentral.proquest.com/lib/viva-active/detail.action?docID=367705</t>
  </si>
  <si>
    <t>Rethinking the Man Question : Sex, Gender and Violence in International Relations</t>
  </si>
  <si>
    <t>Zed Books</t>
  </si>
  <si>
    <t>Parpart, Jane L.;Zalewski, Doctor Marysia</t>
  </si>
  <si>
    <t>International relations -- Psychological aspects. ; Masculinity -- Political aspects. ; Feminism. ; Feminist theory. ; Violence.</t>
  </si>
  <si>
    <t>https://ebookcentral.proquest.com/lib/viva-active/detail.action?docID=368677</t>
  </si>
  <si>
    <t>When Boys Become Parents : Adolescent Fatherhood in America</t>
  </si>
  <si>
    <t>Kiselica, Mark S.</t>
  </si>
  <si>
    <t>Teenage fathers -- Counseling of -- United States. ; Teenage fathers -- Services for -- United States. ; Teenage fathers -- United States -- Life skills guides. ; Unmarried fathers -- United States.</t>
  </si>
  <si>
    <t>https://ebookcentral.proquest.com/lib/viva-active/detail.action?docID=370484</t>
  </si>
  <si>
    <t>Sexuality in the Middle Ages and Early Modern Times : New Approaches to a Fundamental Cultural-Historical and Literary-Anthropological Theme</t>
  </si>
  <si>
    <t>De Gruyter, Inc.</t>
  </si>
  <si>
    <t>Fundamentals of Medieval and Early Modern Culture Ser.</t>
  </si>
  <si>
    <t>Classen, Albrecht</t>
  </si>
  <si>
    <t>Sex in literature. ; Literature, Medieval -- History and criticism. ; European literature -- Renaissance, 1450-1600 -- History and criticism.</t>
  </si>
  <si>
    <t>https://ebookcentral.proquest.com/lib/viva-active/detail.action?docID=370749</t>
  </si>
  <si>
    <t>Masculinity and Popular Television</t>
  </si>
  <si>
    <t>Feasey, Rebecca</t>
  </si>
  <si>
    <t>Masculinity in popular culture. ; Men on television.</t>
  </si>
  <si>
    <t>https://ebookcentral.proquest.com/lib/viva-active/detail.action?docID=380402</t>
  </si>
  <si>
    <t>French Queer Cinema</t>
  </si>
  <si>
    <t>Rees-Roberts, Nick</t>
  </si>
  <si>
    <t>Homosexuality and motion pictures -- France. ; Homosexuality in motion pictures. ; Gays in motion pictures. ; Motion pictures -- France.</t>
  </si>
  <si>
    <t>https://ebookcentral.proquest.com/lib/viva-active/detail.action?docID=380403</t>
  </si>
  <si>
    <t>Queer Universes : Sexualities in Science Fiction</t>
  </si>
  <si>
    <t>Liverpool University Press</t>
  </si>
  <si>
    <t>Liverpool Science Fiction Texts and Studies, 37</t>
  </si>
  <si>
    <t>Pearson, Wendy Gay;Hollinger, Veronica;Gordon, Joan</t>
  </si>
  <si>
    <t>Literature; Fiction</t>
  </si>
  <si>
    <t>Science fiction, American -- History and criticism. ; Gays' writings, American -- History and criticism. ; Homosexuality and literature -- United States -- History.</t>
  </si>
  <si>
    <t>https://ebookcentral.proquest.com/lib/viva-active/detail.action?docID=380585</t>
  </si>
  <si>
    <t>South American Independence : Gender, Politics, Text</t>
  </si>
  <si>
    <t>Liverpool Latin American Studies, 7</t>
  </si>
  <si>
    <t>Davies, Catherine;Brewster, Claire;Owen, Hilary</t>
  </si>
  <si>
    <t>Women -- Political activity -- South America -- History -- 19th century. ; Women and democracy -- South America -- History -- 19th century. ; Sex role -- Political aspects -- South America -- History -- 19th century. ; Women's rights -- South America -- History -- 19th century. ; South America -- Politics and government -- 19th century.</t>
  </si>
  <si>
    <t>https://ebookcentral.proquest.com/lib/viva-active/detail.action?docID=380592</t>
  </si>
  <si>
    <t>The She Spot : Why Women Are the Market for Changing the World - And How to Reach Them</t>
  </si>
  <si>
    <t>Berrett-Koehler Publishers, Incorporated</t>
  </si>
  <si>
    <t>BK Business</t>
  </si>
  <si>
    <t>Witter, Lisa;Chen, Lisa;Hirshberg, Gary</t>
  </si>
  <si>
    <t>Business/Management</t>
  </si>
  <si>
    <t>Women consumers -- United States. ; Social marketing -- United States. ; Women in nonprofit organizations -- United States.</t>
  </si>
  <si>
    <t>https://ebookcentral.proquest.com/lib/viva-active/detail.action?docID=407901</t>
  </si>
  <si>
    <t>Desiring Arabs</t>
  </si>
  <si>
    <t>University of Chicago Press</t>
  </si>
  <si>
    <t>Massad, Joseph A.</t>
  </si>
  <si>
    <t>Civilization, Arab. ; Arabs -- Sexual behavior. ; Arab countries -- Foreign public opinion, Western.</t>
  </si>
  <si>
    <t>https://ebookcentral.proquest.com/lib/viva-active/detail.action?docID=408229</t>
  </si>
  <si>
    <t>The Gender Impact of Social Security Reform</t>
  </si>
  <si>
    <t>James, Estelle;Edwards, Alejandra Cox;Wong, Rebeca</t>
  </si>
  <si>
    <t>Social security. ; Women -- Pensions.</t>
  </si>
  <si>
    <t>https://ebookcentral.proquest.com/lib/viva-active/detail.action?docID=408533</t>
  </si>
  <si>
    <t>EBOOK: Embodying Women's Work</t>
  </si>
  <si>
    <t>Gatrell, Caroline</t>
  </si>
  <si>
    <t>Business/Management; Economics; Social Science</t>
  </si>
  <si>
    <t>Women -- Employment. ; Women employees.</t>
  </si>
  <si>
    <t>https://ebookcentral.proquest.com/lib/viva-active/detail.action?docID=409759</t>
  </si>
  <si>
    <t>Feminism, Sexuality, and Politics : Essays by Estelle B. Freedman</t>
  </si>
  <si>
    <t>The University of North Carolina Press</t>
  </si>
  <si>
    <t>Freedman, Estelle B.</t>
  </si>
  <si>
    <t>Feminism -- United States -- History. ; Women's studies -- United States. ; Homosexuality -- United States -- History. ; Sex -- Political aspects -- United States.</t>
  </si>
  <si>
    <t>https://ebookcentral.proquest.com/lib/viva-active/detail.action?docID=413285</t>
  </si>
  <si>
    <t>Righteous Propagation : African Americans and the Politics of Racial Destiny after Reconstruction</t>
  </si>
  <si>
    <t>Mitchell, Michele</t>
  </si>
  <si>
    <t>African Americans -- History -- 1877-1964. ; African Americans -- Politics and government. ; African Americans -- Race identity. ; African Americans -- Sexual behavior. ; Sex role -- United States -- History. ; Sex -- Political aspects -- United States -- History. ; Human reproduction -- Political aspects -- United States -- History.</t>
  </si>
  <si>
    <t>https://ebookcentral.proquest.com/lib/viva-active/detail.action?docID=413362</t>
  </si>
  <si>
    <t>Mysteries of Sex : Tracing Women and Men Through American History</t>
  </si>
  <si>
    <t>University of North Carolina Press</t>
  </si>
  <si>
    <t>Ryan, Mary P.</t>
  </si>
  <si>
    <t>Men - United States - History</t>
  </si>
  <si>
    <t>https://ebookcentral.proquest.com/lib/viva-active/detail.action?docID=413410</t>
  </si>
  <si>
    <t>Rape and Race in the Nineteenth-Century South</t>
  </si>
  <si>
    <t>Sommerville, Diane Miller</t>
  </si>
  <si>
    <t>Rape -- Southern States -- History -- 19th century. ; Southern States -- Race relations -- History -- 19th century.</t>
  </si>
  <si>
    <t>https://ebookcentral.proquest.com/lib/viva-active/detail.action?docID=413429</t>
  </si>
  <si>
    <t>Wounded Hearts : Masculinity, Law, and Literature in American Culture</t>
  </si>
  <si>
    <t>Travis, Jennifer</t>
  </si>
  <si>
    <t>American fiction -- History and criticism. ; Masculinity in literature. ; Emotions in literature. ; Men in literature. ; Law in literature.</t>
  </si>
  <si>
    <t>https://ebookcentral.proquest.com/lib/viva-active/detail.action?docID=413444</t>
  </si>
  <si>
    <t>Behold the Man : Jesus and Greco-Roman Masculinity</t>
  </si>
  <si>
    <t>Conway, Colleen</t>
  </si>
  <si>
    <t>Jesus Christ -- Person and offices. ; Bible. -- N.T. -- Gospels -- Criticism, interpretation, etc. ; Men in the Bible. ; Masculinity -- Religious aspects -- Christianity -- History of doctrines -- Early church, ca. 30-600. ; Men (Christian theology)</t>
  </si>
  <si>
    <t>https://ebookcentral.proquest.com/lib/viva-active/detail.action?docID=415115</t>
  </si>
  <si>
    <t>Freudian Mythologies : Greek Tragedy and Modern Identities</t>
  </si>
  <si>
    <t>Bowlby, Rachel</t>
  </si>
  <si>
    <t>Oedipus complex. ; Electra complex. ; Psychoanalysis -- Greek influences. ; Greek drama (Tragedy) -- History and criticism.</t>
  </si>
  <si>
    <t>https://ebookcentral.proquest.com/lib/viva-active/detail.action?docID=415322</t>
  </si>
  <si>
    <t>Gender, Writing, and Performance : Men Defending Women in Late Medieval France (1440-1538)</t>
  </si>
  <si>
    <t>Oxford University Press</t>
  </si>
  <si>
    <t>Oxford Modern Languages and Literature Monographs</t>
  </si>
  <si>
    <t>Swift, Helen J.</t>
  </si>
  <si>
    <t>French literature -- To 1500 -- History and criticism. ; French literature -- 16th century -- History and criticism. ; Women in literature. ; French literature -- Male authors -- History and criticism.</t>
  </si>
  <si>
    <t>https://ebookcentral.proquest.com/lib/viva-active/detail.action?docID=415335</t>
  </si>
  <si>
    <t>Homeric Voices : Discourse, Memory, Gender</t>
  </si>
  <si>
    <t>Minchin, Elizabeth</t>
  </si>
  <si>
    <t>Oratory, Ancient</t>
  </si>
  <si>
    <t>https://ebookcentral.proquest.com/lib/viva-active/detail.action?docID=415410</t>
  </si>
  <si>
    <t>Perfectly Prep : Gender Extremes at a New England Prep School</t>
  </si>
  <si>
    <t>Child Development in Cultural Context Ser.</t>
  </si>
  <si>
    <t>Chase, Sarah A.</t>
  </si>
  <si>
    <t>Sex differences in education -- United States -- Case studies. ; Preparatory school students -- United States -- Social conditions -- Case studies. ; Multicultural education -- United States -- Case studies. ; Preparatory schools -- New England -- Case studies.</t>
  </si>
  <si>
    <t>https://ebookcentral.proquest.com/lib/viva-active/detail.action?docID=415646</t>
  </si>
  <si>
    <t>Sex Differences in the Brain : From Genes to Behavior</t>
  </si>
  <si>
    <t>Millington, Barry;Becker, Jill B.;Berkley, Karen J.;Geary, Nori;Hampson, Elizabeth;Herman, James P.;Young, Elizabeth</t>
  </si>
  <si>
    <t>Science: Biology/Natural History; Science; Science: Anatomy/Physiology</t>
  </si>
  <si>
    <t>Sex differences. ; Sex differences (Psychology) ; Brain -- Sex differences. ; Human behavior -- Physiological aspects.</t>
  </si>
  <si>
    <t>https://ebookcentral.proquest.com/lib/viva-active/detail.action?docID=415757</t>
  </si>
  <si>
    <t>Sexuality : A Very Short Introduction</t>
  </si>
  <si>
    <t>Mottier, Veronique</t>
  </si>
  <si>
    <t>Sex. ; Sex -- History. ; Women and erotica. ; Sex -- Political aspects.</t>
  </si>
  <si>
    <t>https://ebookcentral.proquest.com/lib/viva-active/detail.action?docID=415759</t>
  </si>
  <si>
    <t>The Story of Sexual Identity : Narrative Perspectives on the Gay and Lesbian Life Course</t>
  </si>
  <si>
    <t>Oxford University Press USA - OSO</t>
  </si>
  <si>
    <t>Sexuality, Identity, and Society Ser.</t>
  </si>
  <si>
    <t>Hammack, Phillip L.;Cohler, Bertram J.</t>
  </si>
  <si>
    <t>Gender identity -- History. ; Gay and lesbian studies. ; Homosexuality -- History. ; Lesbianism -- History. ; Sex role. ; Sex differences.</t>
  </si>
  <si>
    <t>https://ebookcentral.proquest.com/lib/viva-active/detail.action?docID=415972</t>
  </si>
  <si>
    <t>Gender equality and welfare politics in Scandinavia : The limits of political ambition?</t>
  </si>
  <si>
    <t>Policy Press</t>
  </si>
  <si>
    <t>Melby, Kari;Carlsson Wetterberg, Christina;Ravn, Anna-Birte</t>
  </si>
  <si>
    <t>Family policy -- Scandinavia. ; Gender mainstreaming -- Scandinavia. ; Equality -- Scandinavia. ; Sex discrimination -- Scandinavia. ; Scandinavia -- Social policy.</t>
  </si>
  <si>
    <t>https://ebookcentral.proquest.com/lib/viva-active/detail.action?docID=419263</t>
  </si>
  <si>
    <t>Politicising parenthood in Scandinavia : Gender relations in welfare states</t>
  </si>
  <si>
    <t>Ellingsæter, Anne Lise;Leira, Arnlaug</t>
  </si>
  <si>
    <t>Parenting. ; Child care -- Government policy -- Scandinavia.</t>
  </si>
  <si>
    <t>https://ebookcentral.proquest.com/lib/viva-active/detail.action?docID=419298</t>
  </si>
  <si>
    <t>TransForming gender : Transgender practices of identity, intimacy and care</t>
  </si>
  <si>
    <t>Hines, Sally</t>
  </si>
  <si>
    <t>Transgenderism. ; Transgender people -- Identity.</t>
  </si>
  <si>
    <t>https://ebookcentral.proquest.com/lib/viva-active/detail.action?docID=419330</t>
  </si>
  <si>
    <t>Illegal Migration and Gender in a Global and Historical Perspective</t>
  </si>
  <si>
    <t>Amsterdam University Press</t>
  </si>
  <si>
    <t>IMISCOE Research</t>
  </si>
  <si>
    <t xml:space="preserve">Schrover, Marlou;van der Leun, Joanne;Lucassen, Leo;Quispel, Chris </t>
  </si>
  <si>
    <t>Political Science; Social Science</t>
  </si>
  <si>
    <t>Illegal aliens. ; Human smuggling. ; Emigration and immigration -- Sex differences.</t>
  </si>
  <si>
    <t>https://ebookcentral.proquest.com/lib/viva-active/detail.action?docID=419914</t>
  </si>
  <si>
    <t>Everyday Masculinities and Extreme Sport : Male Identity and Rock Climbing</t>
  </si>
  <si>
    <t>Bloomsbury Publishing Plc</t>
  </si>
  <si>
    <t>Robinson, Victoria</t>
  </si>
  <si>
    <t>Rock climbing. ; Sports -- Social aspects. ; Sports -- Psychological aspects. ; Masculinity. ; Men -- Identity.</t>
  </si>
  <si>
    <t>https://ebookcentral.proquest.com/lib/viva-active/detail.action?docID=420658</t>
  </si>
  <si>
    <t>Deleuze and Queer Theory</t>
  </si>
  <si>
    <t>Deleuze Connections</t>
  </si>
  <si>
    <t xml:space="preserve">Nigianni, Chrysanthi;Storr, Merl;Buchanan, Ian ;Colebrook, Claire ;Conley, Verena Andermatt ;Hickey-Moody, Anna </t>
  </si>
  <si>
    <t>Philosophy; Social Science</t>
  </si>
  <si>
    <t>Deleuze, Gilles, -- 1925-1995. ; Queer theory. ; Homosexuality -- Philosophy.</t>
  </si>
  <si>
    <t>https://ebookcentral.proquest.com/lib/viva-active/detail.action?docID=420673</t>
  </si>
  <si>
    <t>EBOOK: Gender and the Changing Face of Higher Education: a Feminized Future?</t>
  </si>
  <si>
    <t>UK Higher Education OUP Humanities and Social Sciences Higher Education OUP Ser.</t>
  </si>
  <si>
    <t>Leathwood, Carole;Read, Barbara</t>
  </si>
  <si>
    <t>Education, Higher -- Sex differences. ; Sex differences in education.</t>
  </si>
  <si>
    <t>https://ebookcentral.proquest.com/lib/viva-active/detail.action?docID=420774</t>
  </si>
  <si>
    <t>Emerging Intersections : Race, Class, and Gender in Theory, Policy, and Practice</t>
  </si>
  <si>
    <t>Dill, Bonnie Thornton;Zambrana, Ruth Enid;Collins, Patricia;Dance, L. Janelle;Frasure, Lorrie Ann;Gatta, Mary;Henderson, Debra;McLaughlin, Amy;Higginbotham, Elizabeth;Tickamyer, Ann</t>
  </si>
  <si>
    <t>Discrimination - United States</t>
  </si>
  <si>
    <t>https://ebookcentral.proquest.com/lib/viva-active/detail.action?docID=420821</t>
  </si>
  <si>
    <t>Birthing the Nation : Sex, Science, and the Conception of Eighteenth-Century Britons</t>
  </si>
  <si>
    <t>Cody, Lisa Forman</t>
  </si>
  <si>
    <t>Human reproduction -- Great Britain -- History -- 18th century. ; Human reproduction -- Political aspects -- Great Britain. ; Nationalism -- Great Britain -- History -- 18th century. ; Childbirth -- Great Britain -- History -- 19th century. ; Midwives -- Great Britain -- History -- 18th century. ; Sex role -- Great Britain -- History -- 18th century. ; Childbirth -- Political aspects -- Great Britain.</t>
  </si>
  <si>
    <t>https://ebookcentral.proquest.com/lib/viva-active/detail.action?docID=422541</t>
  </si>
  <si>
    <t>Feminism and Masculinities</t>
  </si>
  <si>
    <t>Oxford Readings in Feminism Ser.</t>
  </si>
  <si>
    <t>Murphy, Peter F.</t>
  </si>
  <si>
    <t>Men -- Social conditions. ; Masculinity. ; Men's movement. ; Gay men. ; Male feminists. ; Feminist theory.</t>
  </si>
  <si>
    <t>https://ebookcentral.proquest.com/lib/viva-active/detail.action?docID=422675</t>
  </si>
  <si>
    <t>Language and Woman's Place : Text and Commentaries</t>
  </si>
  <si>
    <t>Studies in Language and Gender Ser.</t>
  </si>
  <si>
    <t>Lakoff, Robin Tolmach;Bucholtz, Mary</t>
  </si>
  <si>
    <t>Women -- Language. ; Sex role. ; Sexism in language. ; English language -- Sex differences.</t>
  </si>
  <si>
    <t>https://ebookcentral.proquest.com/lib/viva-active/detail.action?docID=422820</t>
  </si>
  <si>
    <t>Wives without Husbands : Marriage, Desertion, and Welfare in New York, 1900-1935</t>
  </si>
  <si>
    <t>Igra, Anna R.</t>
  </si>
  <si>
    <t>National Desertion Bureau, New York -- History. ; National Desertion Bureau, New York -- Case studies. ; Poor women -- New York (State) -- New York. ; Women heads of households -- New York (State) -- New York. ; Jewish women -- New York (State) -- New York -- Social conditions. ; Jewish women -- New York (State) -- New York -- Economic conditions. ; Absentee fathers -- New York (State) -- New York.</t>
  </si>
  <si>
    <t>https://ebookcentral.proquest.com/lib/viva-active/detail.action?docID=427136</t>
  </si>
  <si>
    <t>Out in Public : Reinventing Lesbian / Gay Anthropology in a Globalizing World</t>
  </si>
  <si>
    <t>Readings in Engaged Anthropology Ser.</t>
  </si>
  <si>
    <t>Lewin, Ellen;Leap, William L.</t>
  </si>
  <si>
    <t>Lesbians -- Social life and customs. ; Gays -- Social life and customs. ; Homosexuality. ; Gay and lesbian studies.</t>
  </si>
  <si>
    <t>https://ebookcentral.proquest.com/lib/viva-active/detail.action?docID=428274</t>
  </si>
  <si>
    <t>Words, Worlds, and Material Girls : Language, Gender, Globalization</t>
  </si>
  <si>
    <t>Language, Power and Social Process [LPSP] Ser.</t>
  </si>
  <si>
    <t>McElhinny, Bonnie S.</t>
  </si>
  <si>
    <t>Social Science; Language/Linguistics</t>
  </si>
  <si>
    <t>Language and sex. ; Globalization. ; Multilingualism.</t>
  </si>
  <si>
    <t>https://ebookcentral.proquest.com/lib/viva-active/detail.action?docID=429363</t>
  </si>
  <si>
    <t>Geographies of Sexualities : Theory, Practices and Politics</t>
  </si>
  <si>
    <t>Lim, Jason;Browne, Kath;Browne, Professor Kath</t>
  </si>
  <si>
    <t>Homosexuality -- Philosophy. ; Homosexuality -- Cross-cultural studies. ; Homosexuality -- Social aspects.</t>
  </si>
  <si>
    <t>https://ebookcentral.proquest.com/lib/viva-active/detail.action?docID=429551</t>
  </si>
  <si>
    <t>Liberation Theology and Sexuality</t>
  </si>
  <si>
    <t>Althaus-Reid, Marcella, Dr</t>
  </si>
  <si>
    <t>Homosexuality -- Religious aspects -- Christianity. ; Liberation theology -- Latin America.</t>
  </si>
  <si>
    <t>https://ebookcentral.proquest.com/lib/viva-active/detail.action?docID=429648</t>
  </si>
  <si>
    <t>'Innocent Women and Children' : Gender, Norms and the Protection of Civilians</t>
  </si>
  <si>
    <t>Gender in a Global/Local World Ser.</t>
  </si>
  <si>
    <t>Carpenter, R. Charli;Gardiner Barber, Professor Pauline;Marchand, Professor Marianne H;Parpart, Professor Jane</t>
  </si>
  <si>
    <t>War -- Protection of civilians. ; War victims -- Legal status, laws, etc. ; Combatants and noncombatants (International law) ; Women and war. ; Children and war.</t>
  </si>
  <si>
    <t>https://ebookcentral.proquest.com/lib/viva-active/detail.action?docID=429673</t>
  </si>
  <si>
    <t>Unpicking Gender : The Social Construction of Gender in the Lancashire Cotton Weaving Industry, 1880-1914</t>
  </si>
  <si>
    <t>Studies in Labour History</t>
  </si>
  <si>
    <t xml:space="preserve">Schwarzkopf, Jutta, Dr;Chase, Dr. Malcolm </t>
  </si>
  <si>
    <t>Women textile workers -- England -- Lancashire -- History. ; Sexual division of labor -- England -- Lancashire -- History. ; Sex discrimination in employment -- England -- Lancashire -- History. ; Women -- Employment -- England -- Lancashire -- History. ; Cotton weaving -- England -- Lancashire -- History. ; Industrial relations -- England -- Lancashire -- History.</t>
  </si>
  <si>
    <t>https://ebookcentral.proquest.com/lib/viva-active/detail.action?docID=429839</t>
  </si>
  <si>
    <t>The Evolutionary Biology of Human Female Sexuality</t>
  </si>
  <si>
    <t>Thornhill, Randy;Gangestad, Steven W.</t>
  </si>
  <si>
    <t>Women -- Sexual behavior. ; Evolution (Biology) ; Sex (Biology)</t>
  </si>
  <si>
    <t>https://ebookcentral.proquest.com/lib/viva-active/detail.action?docID=430454</t>
  </si>
  <si>
    <t>Faeries, Bears, and Leathermen : Men in Community Queering the Masculine</t>
  </si>
  <si>
    <t>Hennen, Peter</t>
  </si>
  <si>
    <t>Gay men -- Psychology. ; Male homosexuality.</t>
  </si>
  <si>
    <t>https://ebookcentral.proquest.com/lib/viva-active/detail.action?docID=432234</t>
  </si>
  <si>
    <t>Same Sex, Different Politics : Success and Failure in the Struggles over Gay Rights</t>
  </si>
  <si>
    <t>Chicago Studies in American Politics</t>
  </si>
  <si>
    <t>Mucciaroni, Gary</t>
  </si>
  <si>
    <t>Gay rights. ; Gays -- Social conditions. ; Homosexuality. ; Gays -- Services for.</t>
  </si>
  <si>
    <t>https://ebookcentral.proquest.com/lib/viva-active/detail.action?docID=432269</t>
  </si>
  <si>
    <t>The Masculine Self in Late Medieval England</t>
  </si>
  <si>
    <t>Neal, Derek G.</t>
  </si>
  <si>
    <t>Masculinity -- England -- History -- To 1500. ; Men -- England -- Social life and customs. ; England -- Social life and customs -- 1066-1485. ; England -- Social conditions -- 1066-1485.</t>
  </si>
  <si>
    <t>https://ebookcentral.proquest.com/lib/viva-active/detail.action?docID=432270</t>
  </si>
  <si>
    <t>Caribbean Pleasure Industry : Tourism, Sexuality, and AIDS in the Dominican Republic</t>
  </si>
  <si>
    <t>Worlds of Desire: The Chicago Series on Sexuality, Gender, and Culture</t>
  </si>
  <si>
    <t>Padilla, Mark</t>
  </si>
  <si>
    <t>Sex tourism -- Dominican Republic. ; AIDS (Disease) -- Dominican Republic. ; Gender identity -- Dominican Republic.</t>
  </si>
  <si>
    <t>https://ebookcentral.proquest.com/lib/viva-active/detail.action?docID=432275</t>
  </si>
  <si>
    <t>If I Could Write This in Fire</t>
  </si>
  <si>
    <t>Cliff, Michelle</t>
  </si>
  <si>
    <t>Cliff, Michelle. ; Authors, American -- 20th century -- Biography. ; Authors, Jamaican -- 20th century -- Biography. ; Jamaican Americans -- Biography. ; Lesbian authors -- Biography.</t>
  </si>
  <si>
    <t>https://ebookcentral.proquest.com/lib/viva-active/detail.action?docID=433173</t>
  </si>
  <si>
    <t>How the Religious Right Shaped Lesbian and Gay Activism</t>
  </si>
  <si>
    <t>Social Movements, Protest and Contention</t>
  </si>
  <si>
    <t>Fetner, Tina</t>
  </si>
  <si>
    <t>Gay liberation movement -- United States. ; Gay rights -- United States. ; Religious right -- United States. ; Homophobia -- United States.</t>
  </si>
  <si>
    <t>https://ebookcentral.proquest.com/lib/viva-active/detail.action?docID=433178</t>
  </si>
  <si>
    <t>Skyscraper Cinema : Architecture and Gender in American Film</t>
  </si>
  <si>
    <t>Schleier, Merrill</t>
  </si>
  <si>
    <t>Skyscrapers in motion pictures. ; Sex role in motion pictures. ; Masculinity in motion pictures. ; Social classes in motion pictures. ; Motion pictures -- United States -- History -- 20th century.</t>
  </si>
  <si>
    <t>https://ebookcentral.proquest.com/lib/viva-active/detail.action?docID=433199</t>
  </si>
  <si>
    <t>Red Lights : The Lives of Sex Workers in Postsocialist China</t>
  </si>
  <si>
    <t>Zheng, Tiantian</t>
  </si>
  <si>
    <t>Prostitution -- China -- History. ; Sex-oriented businesses -- China. ; China -- Social conditions.</t>
  </si>
  <si>
    <t>https://ebookcentral.proquest.com/lib/viva-active/detail.action?docID=433208</t>
  </si>
  <si>
    <t>Sex on Stage : Gender and Sexuality in Post-War British Theatre</t>
  </si>
  <si>
    <t>Wyllie, Andrew</t>
  </si>
  <si>
    <t>Feminism and theater -- Great Britain. ; Women in the theater -- Great Britain. ; Sex role in the theater -- Great Britain. ; Homosexuality in the theater -- Great Britain. ; Theater and society -- Great Britain. ; Theater -- Great Britain -- History -- 20th century. ; Theater -- Great Britain -- History -- 21st century.</t>
  </si>
  <si>
    <t>https://ebookcentral.proquest.com/lib/viva-active/detail.action?docID=435036</t>
  </si>
  <si>
    <t>Pleasures and Perils : Girls' Sexuality in a Caribbean Consumer Culture</t>
  </si>
  <si>
    <t>Rutgers Series in Childhood Studies</t>
  </si>
  <si>
    <t>Curtis, Debra</t>
  </si>
  <si>
    <t>Girls -- Sexual behavior -- Saint Kitts and Nevis -- Nevis. ; Girls -- Saint Kitts and Nevis -- Nevis -- Attitudes. ; Sex in popular culture -- Saint Kitts and Nevis -- Nevis. ; Sex -- Social aspects -- Saint Kitts and Nevis -- Nevis.</t>
  </si>
  <si>
    <t>https://ebookcentral.proquest.com/lib/viva-active/detail.action?docID=435051</t>
  </si>
  <si>
    <t>Racism and Sexual Oppression in Anglo-America : A Genealogy</t>
  </si>
  <si>
    <t>McWhorter, Ladelle</t>
  </si>
  <si>
    <t>Political Science; Social Science; History</t>
  </si>
  <si>
    <t>Minorities -- Civil rights -- United States -- History. ; African Americans -- Civil rights -- History. ; Gay rights -- United States -- History. ; Racism -- United States -- History. ; Homophobia -- United States -- History. ; Whites -- United States -- Attitudes -- History. ; Eugenics -- United States -- History.</t>
  </si>
  <si>
    <t>https://ebookcentral.proquest.com/lib/viva-active/detail.action?docID=437627</t>
  </si>
  <si>
    <t>Household Chores and Household Choices : Theorizing the Domestic Sphere in Historical Archaeology</t>
  </si>
  <si>
    <t>University of Alabama Press</t>
  </si>
  <si>
    <t>Brandon, Jamie C.;Anderson, Nesta;Battle, Whitney L.;Bonine, Mindy L.;Davidson, James M.;Franklin, Maria;Galindo, Mary Jo;Pappas, Efstathios I.;Stewart-Abernathy, Leslie C.;Barile, Kerri Saige</t>
  </si>
  <si>
    <t>Home Economics</t>
  </si>
  <si>
    <t>Historic sites -- United States. ; Material culture -- United States. ; Landscapes -- Social aspects -- United States -- History. ; Households -- United States -- History. ; Families -- United States -- History. ; Sex role -- United States -- History. ; Archaeology and history -- United States.</t>
  </si>
  <si>
    <t>https://ebookcentral.proquest.com/lib/viva-active/detail.action?docID=438127</t>
  </si>
  <si>
    <t>Complying with Colonialism : Gender, Race and Ethnicity in the Nordic Region</t>
  </si>
  <si>
    <t>Keskinen, Suvi;Tuori, Salla;Irni, Sara;Mulinari, Diana</t>
  </si>
  <si>
    <t>Immigrants -- Scandinavia. ; Women immigrants -- Scandinavia. ; Sex discrimination against women -- Scandinavia. ; Scandinavia -- Ethnic relations.</t>
  </si>
  <si>
    <t>https://ebookcentral.proquest.com/lib/viva-active/detail.action?docID=438320</t>
  </si>
  <si>
    <t>Queering the Non/Human</t>
  </si>
  <si>
    <t>Queer Interventions Ser.</t>
  </si>
  <si>
    <t>Hird, Myra J.;Giffney, Noreen</t>
  </si>
  <si>
    <t>Homosexuality. ; Queer theory.</t>
  </si>
  <si>
    <t>https://ebookcentral.proquest.com/lib/viva-active/detail.action?docID=438412</t>
  </si>
  <si>
    <t>Deconstructing Sexuality in the Middle East : Challenges and Discourses</t>
  </si>
  <si>
    <t>Ilkkaracan, Pinar</t>
  </si>
  <si>
    <t>Sex role -- Middle East. ; Sex -- Political aspects -- Middle East. ; Sex -- Social aspects -- Middle East.</t>
  </si>
  <si>
    <t>https://ebookcentral.proquest.com/lib/viva-active/detail.action?docID=438729</t>
  </si>
  <si>
    <t>New Men in Trollope's Novels : Rewriting the Victorian Male</t>
  </si>
  <si>
    <t>The Nineteenth Century Series</t>
  </si>
  <si>
    <t xml:space="preserve">Markwick, Margaret, Dr;Newey, Professor Vincent ;Shattock, Professor Joanne </t>
  </si>
  <si>
    <t>Trollope, Anthony, -- 1815-1882 -- Criticism and interpretation. ; Men in literature. ; Masculinity in literature.</t>
  </si>
  <si>
    <t>https://ebookcentral.proquest.com/lib/viva-active/detail.action?docID=438811</t>
  </si>
  <si>
    <t>Queer Attachments : The Cultural Politics of Shame</t>
  </si>
  <si>
    <t>Munt, Sally R.</t>
  </si>
  <si>
    <t>Homosexuality. ; Sexual minorities. ; Politics and culture. ; Sex -- Social aspects. ; Shame.</t>
  </si>
  <si>
    <t>https://ebookcentral.proquest.com/lib/viva-active/detail.action?docID=438845</t>
  </si>
  <si>
    <t>Masculinities and Management in Agricultural Organizations Worldwide</t>
  </si>
  <si>
    <t>Gender and Organizational Theory</t>
  </si>
  <si>
    <t xml:space="preserve">Pini, Barbara, Professor;Jeanes, Ms Emma </t>
  </si>
  <si>
    <t>Rural men -- Cross-cultural studies. ; Men -- Psychology -- Cross-cultural studies. ; Masculinity -- Cross-cultural studies. ; Sex role -- Cross-cultural studies.</t>
  </si>
  <si>
    <t>https://ebookcentral.proquest.com/lib/viva-active/detail.action?docID=438874</t>
  </si>
  <si>
    <t>Queer French : Globalization, Language, and Sexual Citizenship in France</t>
  </si>
  <si>
    <t>Provencher, Denis M.</t>
  </si>
  <si>
    <t>Homosexuality -- France. ; Gays -- France. ; Gay press.</t>
  </si>
  <si>
    <t>https://ebookcentral.proquest.com/lib/viva-active/detail.action?docID=438880</t>
  </si>
  <si>
    <t>Migrant Men : Critical Studies of Masculinities and the Migration Experience</t>
  </si>
  <si>
    <t xml:space="preserve">Donaldson, Mike;Hibbins, Raymond;Howson, Richard;Pease, Bob;Howson, Richard ;Pease, Bob </t>
  </si>
  <si>
    <t>Psychology; Political Science</t>
  </si>
  <si>
    <t>Male immigrants</t>
  </si>
  <si>
    <t>https://ebookcentral.proquest.com/lib/viva-active/detail.action?docID=446563</t>
  </si>
  <si>
    <t>Gay and Lesbian Subculture in Urban China</t>
  </si>
  <si>
    <t>Routledge Contemporary China Ser.</t>
  </si>
  <si>
    <t>Ho, Loretta Wing Wah</t>
  </si>
  <si>
    <t>Lesbians - China</t>
  </si>
  <si>
    <t>https://ebookcentral.proquest.com/lib/viva-active/detail.action?docID=446817</t>
  </si>
  <si>
    <t>Sex for Sale : Prostitution, Pornography, and the Sex Industry</t>
  </si>
  <si>
    <t>Weitzer, Ronald</t>
  </si>
  <si>
    <t>Pornography</t>
  </si>
  <si>
    <t>https://ebookcentral.proquest.com/lib/viva-active/detail.action?docID=446955</t>
  </si>
  <si>
    <t>Queer Political Performance and Protest</t>
  </si>
  <si>
    <t>Shepard, Benjamin</t>
  </si>
  <si>
    <t>Gays - Political activity - United States</t>
  </si>
  <si>
    <t>https://ebookcentral.proquest.com/lib/viva-active/detail.action?docID=448345</t>
  </si>
  <si>
    <t>Queering the Underworld : Slumming, Literature, and the Undoing of Lesbian and Gay History</t>
  </si>
  <si>
    <t>Herring, Scott</t>
  </si>
  <si>
    <t>American literature -- 20th century -- History and criticism. ; Gay culture in literature. ; Slums in literature. ; City and town life in literature. ; Homosexuality in literature. ; Lesbianism in literature. ; Homosexuality -- United States -- History.</t>
  </si>
  <si>
    <t>https://ebookcentral.proquest.com/lib/viva-active/detail.action?docID=448552</t>
  </si>
  <si>
    <t>How High Should Boys Sing? : Gender, Authenticity and Credibility in the Young Male Voice</t>
  </si>
  <si>
    <t>Ashley, Martin</t>
  </si>
  <si>
    <t>Singing -- Social aspects. ; Boys -- Psychology. ; Voice, Change of. ; Singing -- Instruction and study -- Great Britain. ; Singing -- Psychological aspects.</t>
  </si>
  <si>
    <t>https://ebookcentral.proquest.com/lib/viva-active/detail.action?docID=449229</t>
  </si>
  <si>
    <t>Understanding and Managing Tourism Impacts : An Integrated Approach</t>
  </si>
  <si>
    <t>Contemporary Geographies of Leisure, Tourism and Mobility Ser.</t>
  </si>
  <si>
    <t>Hall, C. Michael;Lew, Alan A.</t>
  </si>
  <si>
    <t>Geography/Travel; Tourism/Hospitality</t>
  </si>
  <si>
    <t>Tourism</t>
  </si>
  <si>
    <t>https://ebookcentral.proquest.com/lib/viva-active/detail.action?docID=452301</t>
  </si>
  <si>
    <t>Advancing Gender Research from the Nineteenth to the Twenty-First Centuries : Advancing Gender Research from the Nineteenth to the Twenty-first Centuries</t>
  </si>
  <si>
    <t>Emerald Publishing Limited</t>
  </si>
  <si>
    <t>Advances in Gender Research Ser.</t>
  </si>
  <si>
    <t>Segal, Marcia Texler;Demos, Vasilikie;Segal, Marcia Texler</t>
  </si>
  <si>
    <t>Gender identity -- History -- 19th century. ; Gender identity -- History -- 20th century. ; Gender identity -- History -- 21st century. ; Sex role -- History -- 19th century. ; Sex role -- History -- 20th century. ; Sex role -- History -- 21st century.</t>
  </si>
  <si>
    <t>https://ebookcentral.proquest.com/lib/viva-active/detail.action?docID=453317</t>
  </si>
  <si>
    <t>You've Changed : Sex Reassignment and Personal Identity</t>
  </si>
  <si>
    <t>Studies in Feminist Philosophy Ser.</t>
  </si>
  <si>
    <t>Shrage, Laurie J.</t>
  </si>
  <si>
    <t>Transsexualism. ; Transgenderism.</t>
  </si>
  <si>
    <t>https://ebookcentral.proquest.com/lib/viva-active/detail.action?docID=453643</t>
  </si>
  <si>
    <t>Philosophical Perspectives on Gender in Sport and Physical Activity</t>
  </si>
  <si>
    <t>Davis, Paul;Weaving, Charlene</t>
  </si>
  <si>
    <t>Sports for women. ; Sports for women -- Philosophy. ; Sports for women -- Social aspects. ; Sports for women -- Cross-cultural studies. ; Gender identity.</t>
  </si>
  <si>
    <t>https://ebookcentral.proquest.com/lib/viva-active/detail.action?docID=453728</t>
  </si>
  <si>
    <t>Marriage in Contemporary Japan</t>
  </si>
  <si>
    <t>Routledge Contemporary Japan Ser.</t>
  </si>
  <si>
    <t>Tokuhiro, Yoko</t>
  </si>
  <si>
    <t>Marriage - Japan</t>
  </si>
  <si>
    <t>https://ebookcentral.proquest.com/lib/viva-active/detail.action?docID=453748</t>
  </si>
  <si>
    <t>It's a New Day : Race and Gender in the Modern Charismatic Movement</t>
  </si>
  <si>
    <t>Religion and American Culture Ser.</t>
  </si>
  <si>
    <t xml:space="preserve">Billingsley, Scott;Harrell, David Edwin ;Flynt, Wayne ;Blumhofer, Edith L. </t>
  </si>
  <si>
    <t>Pentecostalism -- United States -- History. ; Pentecostal women -- United States -- History. ; African American Pentecostals -- History.</t>
  </si>
  <si>
    <t>https://ebookcentral.proquest.com/lib/viva-active/detail.action?docID=454512</t>
  </si>
  <si>
    <t>Sweet Tea : Black Gay Men of the South</t>
  </si>
  <si>
    <t>Johnson, E. Patrick</t>
  </si>
  <si>
    <t>African American gay men -- Southern States -- Social conditions. ; Southern States -- Social conditions.</t>
  </si>
  <si>
    <t>https://ebookcentral.proquest.com/lib/viva-active/detail.action?docID=454817</t>
  </si>
  <si>
    <t>Terror in the Heart of Freedom : Citizenship, Sexual Violence, and the Meaning of Race in the Postemancipation South</t>
  </si>
  <si>
    <t>Gender and American Culture Ser.</t>
  </si>
  <si>
    <t>Rosen, Hannah</t>
  </si>
  <si>
    <t>Political Science; History</t>
  </si>
  <si>
    <t>African Americans -- Civil rights -- Southern States -- History -- 19th century. ; African American women -- Crimes against -- Southern States -- History -- 19th century. ; Rape -- Southern States -- History -- 19th century. ; Rape -- Political aspects -- Southern States -- History -- 19th century. ; Slaves -- Emancipation -- Social aspects -- Southern States. ; Citizenship -- Social aspects -- Southern States -- History -- 19th century. ; Sex role -- Southern States -- History -- 19th century.</t>
  </si>
  <si>
    <t>https://ebookcentral.proquest.com/lib/viva-active/detail.action?docID=454832</t>
  </si>
  <si>
    <t>Queer in Black and White : Interraciality, Same Sex Desire, and Contemporary African American Culture</t>
  </si>
  <si>
    <t>Dunning, Stefanie K.</t>
  </si>
  <si>
    <t>Literature; Fine Arts</t>
  </si>
  <si>
    <t>American fiction -- African American authors -- History and criticism. ; African Americans -- Intellectual life. ; Homosexuality in literature. ; Homosexuality in motion pictures. ; Homosexuality in music. ; Race relations in literature. ; Race relations in motion pictures.</t>
  </si>
  <si>
    <t>https://ebookcentral.proquest.com/lib/viva-active/detail.action?docID=455790</t>
  </si>
  <si>
    <t>Between Women : Friendship, Desire, and Marriage in Victorian England</t>
  </si>
  <si>
    <t>Princeton University Press</t>
  </si>
  <si>
    <t>Marcus, Sharon</t>
  </si>
  <si>
    <t>Women -- England -- History. ; Women -- Social networks -- England. ; Lesbians -- England -- History. ; Female friendship -- England. ; Women in literature.</t>
  </si>
  <si>
    <t>https://ebookcentral.proquest.com/lib/viva-active/detail.action?docID=457860</t>
  </si>
  <si>
    <t>Gender Aspects of the Trade and Poverty Nexus : A Macro-Micro Approach</t>
  </si>
  <si>
    <t>World Bank Publications</t>
  </si>
  <si>
    <t>Equity and Development Series</t>
  </si>
  <si>
    <t xml:space="preserve">Bussolo, Maurizio;Hoyos, Rafael E. De;De Hoyos, Rafael E </t>
  </si>
  <si>
    <t>Social Science; Economics; Business/Management</t>
  </si>
  <si>
    <t>Sex role. ; Poverty. ; Commerce.</t>
  </si>
  <si>
    <t>https://ebookcentral.proquest.com/lib/viva-active/detail.action?docID=459365</t>
  </si>
  <si>
    <t>Homosexuality and Manliness in Postwar Japan</t>
  </si>
  <si>
    <t>Mackintosh, Jonathan D.</t>
  </si>
  <si>
    <t>Gay men - Japan</t>
  </si>
  <si>
    <t>https://ebookcentral.proquest.com/lib/viva-active/detail.action?docID=460327</t>
  </si>
  <si>
    <t>Rights, Gender and Family Law</t>
  </si>
  <si>
    <t>Wallbank, Julie;Choudhry, Shazia;Herring, Jonathan</t>
  </si>
  <si>
    <t>Domestic relations - English-speaking countries</t>
  </si>
  <si>
    <t>https://ebookcentral.proquest.com/lib/viva-active/detail.action?docID=465318</t>
  </si>
  <si>
    <t>Understanding Non-Monogamies</t>
  </si>
  <si>
    <t>Barker, Meg;Langdridge, Darren</t>
  </si>
  <si>
    <t>Non-monogamous relationships</t>
  </si>
  <si>
    <t>https://ebookcentral.proquest.com/lib/viva-active/detail.action?docID=465370</t>
  </si>
  <si>
    <t>The Best Kept Secret : Single Black Fathers</t>
  </si>
  <si>
    <t>Rowman &amp; Littlefield Publishers</t>
  </si>
  <si>
    <t>Coles, Roberta L.</t>
  </si>
  <si>
    <t>African American single fathers - Psychology</t>
  </si>
  <si>
    <t>https://ebookcentral.proquest.com/lib/viva-active/detail.action?docID=466797</t>
  </si>
  <si>
    <t>Passion, Humiliation, Revenge : Hatred in Man-Woman Relationships in the 19th and 20th Century Russian Novel</t>
  </si>
  <si>
    <t>Lexington Books</t>
  </si>
  <si>
    <t>Lapidus;Chipman, Jonathan</t>
  </si>
  <si>
    <t>Russian literature -- 19th century -- History and criticism. ; Russian literature -- 20th century -- History and criticism. ; Man-woman relationships in literature. ; Sex in literature. ; Revenge in literature.</t>
  </si>
  <si>
    <t>https://ebookcentral.proquest.com/lib/viva-active/detail.action?docID=467107</t>
  </si>
  <si>
    <t>Embodying Asian/American Sexualities</t>
  </si>
  <si>
    <t>Masequesmay, Gina;Metzger, Sean;Alumit, Noel;Arondekar, Anjali;Bacalzo, Dan;Chan, Eugenie;Chong, Sylvia;Fung, Richard;Irwin, Cathy;in Action Members, Khmer Girls</t>
  </si>
  <si>
    <t>Asian Americans - Sexual behavior</t>
  </si>
  <si>
    <t>https://ebookcentral.proquest.com/lib/viva-active/detail.action?docID=467161</t>
  </si>
  <si>
    <t>Perverts and Predators : The Making of Sexual Offending Laws</t>
  </si>
  <si>
    <t>Issues in Crime and Justice</t>
  </si>
  <si>
    <t>Zilney, Laura J.;Zilney, Lisa Anne</t>
  </si>
  <si>
    <t>Sex offenders - Psychology - United States</t>
  </si>
  <si>
    <t>https://ebookcentral.proquest.com/lib/viva-active/detail.action?docID=467554</t>
  </si>
  <si>
    <t>From ILO Standards to EU Law : The Case of Equality between Men and Women at Work</t>
  </si>
  <si>
    <t>BRILL</t>
  </si>
  <si>
    <t xml:space="preserve">Landau, Eye C.;Beigbeder, Yves;Landau, Eve C </t>
  </si>
  <si>
    <t>Women -- Employment -- Law and legislation -- European Union countries. ; Sex discrimination in employment -- Law and legislation -- European Union countries.</t>
  </si>
  <si>
    <t>https://ebookcentral.proquest.com/lib/viva-active/detail.action?docID=467572</t>
  </si>
  <si>
    <t>Performing Nation : Gender Politics in Literature, Theater, and the Visual Arts of China and Japan, 1880-1940</t>
  </si>
  <si>
    <t>Sinica Leidensia Ser.</t>
  </si>
  <si>
    <t xml:space="preserve">Croissant, Doris;Yeh, Catherine Vance;Mostow, Joshua S.;Croissant, Doris ;Yeh, Catherine Vance ;Mostow, Joshua S. ;Haar, Barend J. ter ;Crevel, Maghiel van </t>
  </si>
  <si>
    <t>Arts, Chinese -- 19th century. ; Arts, Chinese -- 20th century. ; Arts, Japanese -- 19th century. ; Arts, Japanese -- 20th century. ; Femininity in art. ; Masculinity in art.</t>
  </si>
  <si>
    <t>https://ebookcentral.proquest.com/lib/viva-active/detail.action?docID=467725</t>
  </si>
  <si>
    <t>The Making of Manhood among Swedish Missionaries in China and Mongolia, C. 1890-C. 1914</t>
  </si>
  <si>
    <t>Studies in Christian Mission Ser.</t>
  </si>
  <si>
    <t>Sidenvall, Erik</t>
  </si>
  <si>
    <t>Missionaries - Sweden</t>
  </si>
  <si>
    <t>https://ebookcentral.proquest.com/lib/viva-active/detail.action?docID=467872</t>
  </si>
  <si>
    <t>Creating Clare of Assisi : Female Franciscan Identities in Later Medieval Italy</t>
  </si>
  <si>
    <t>The Medieval Franciscans Ser.</t>
  </si>
  <si>
    <t>Knox, Lezlie S.</t>
  </si>
  <si>
    <t>Clare, -- of Assisi, Saint, -- 1194-1253. ; Poor Clares -- Italy -- History -- Middle Ages, 600-1500. ; Monastic and religious life of women -- Italy -- History -- Middle Ages, 600-1500.</t>
  </si>
  <si>
    <t>https://ebookcentral.proquest.com/lib/viva-active/detail.action?docID=468194</t>
  </si>
  <si>
    <t>Performing Islam : Gender and Ritual in Iran</t>
  </si>
  <si>
    <t>Women and Gender: the Middle East and the Islamic World Ser.</t>
  </si>
  <si>
    <t>Torab, Azam</t>
  </si>
  <si>
    <t>Muslim women -- Iran -- Social conditions. ; Women in Islam -- Iran. ; Women -- Iran -- Social conditions.</t>
  </si>
  <si>
    <t>https://ebookcentral.proquest.com/lib/viva-active/detail.action?docID=468456</t>
  </si>
  <si>
    <t>Rūmī  and the Hermeneutics of Eroticism</t>
  </si>
  <si>
    <t>Iran Studies</t>
  </si>
  <si>
    <t>Tourage, Mahdi</t>
  </si>
  <si>
    <t>Jalal al-Din Rumi, -- Maulana, -- 1207-1273. -- Ma_snavi. ; Jalal al-Din Rumi, -- Maulana, -- 1207-1273 -- Criticism and interpretation. ; Sex in literature. ; Eroticism in literature.</t>
  </si>
  <si>
    <t>https://ebookcentral.proquest.com/lib/viva-active/detail.action?docID=468459</t>
  </si>
  <si>
    <t>Straight to Jesus : Sexual and Christian Conversions in the Ex-Gay Movement</t>
  </si>
  <si>
    <t>Erzen, Tanya</t>
  </si>
  <si>
    <t>Social Science; Religion</t>
  </si>
  <si>
    <t>New Hope Ministries -- Case studies. ; Church work with gays -- California -- San Rafael -- Case studies. ; Ex-gay movement -- California -- San Rafael -- Case studies.</t>
  </si>
  <si>
    <t>https://ebookcentral.proquest.com/lib/viva-active/detail.action?docID=470828</t>
  </si>
  <si>
    <t>Bohemian Los Angeles : And the Making of Modern Politics</t>
  </si>
  <si>
    <t>Hurewitz, Daniel</t>
  </si>
  <si>
    <t>History; Geography/Travel</t>
  </si>
  <si>
    <t>Cultural pluralism -- California -- Los Angeles -- History -- 20th century. ; Artists -- California -- Los Angeles -- History -- 20th century. ; Political activists -- California -- Los Angeles -- History -- 20th century. ; Community life -- California -- Los Angeles -- History -- 20th century. ; Edendale (Los Angeles, Calif.) -- Politics and government -- 20th century. ; Edendale (Los Angeles, Calif.) -- Intellectual life -- 20th century. ; Edendale (Los Angeles, Calif.) -- Social conditions -- 20th century.</t>
  </si>
  <si>
    <t>https://ebookcentral.proquest.com/lib/viva-active/detail.action?docID=470856</t>
  </si>
  <si>
    <t>Women Who Kill Men : California Courts, Gender, and the Press</t>
  </si>
  <si>
    <t>Law in the American West</t>
  </si>
  <si>
    <t xml:space="preserve">Bakken, Gordon M;Farrington, Brenda </t>
  </si>
  <si>
    <t>Trials (Murder) -- California. ; Women -- Legal status, laws, etc. -- California -- History. ; Sex discrimination in criminal justice administration -- California -- History. ; Women murderers -- Social aspects -- California.</t>
  </si>
  <si>
    <t>https://ebookcentral.proquest.com/lib/viva-active/detail.action?docID=471725</t>
  </si>
  <si>
    <t>Developing Partnerships : Gender, Sexuality, and the Reformed World Bank</t>
  </si>
  <si>
    <t>Bedford, Kate</t>
  </si>
  <si>
    <t>World Bank -- Latin America. ; Women in development -- Latin America. ; Sex role -- Government policy -- Latin America.</t>
  </si>
  <si>
    <t>https://ebookcentral.proquest.com/lib/viva-active/detail.action?docID=471763</t>
  </si>
  <si>
    <t>Reification of Desire : Toward a Queer Marxism</t>
  </si>
  <si>
    <t>Floyd, Kevin</t>
  </si>
  <si>
    <t>Social Science; Economics</t>
  </si>
  <si>
    <t>Socialism and homosexuality. ; Queer theory. ; Marxist criticism.</t>
  </si>
  <si>
    <t>https://ebookcentral.proquest.com/lib/viva-active/detail.action?docID=471767</t>
  </si>
  <si>
    <t>Codes of Misconduct : Regulating Prostitution in Late Colonial Bombay</t>
  </si>
  <si>
    <t>Tambe, Ashwini</t>
  </si>
  <si>
    <t>Prostitution -- India -- Bombay -- History -- 19th century. ; Prostitution -- India -- Bombay -- History -- 20th century.</t>
  </si>
  <si>
    <t>https://ebookcentral.proquest.com/lib/viva-active/detail.action?docID=471778</t>
  </si>
  <si>
    <t>Before Homosexuality in the Arab-Islamic World, 1500-1800</t>
  </si>
  <si>
    <t>El-Rouayheb, Khaled</t>
  </si>
  <si>
    <t>Homosexuality -- Arab countries -- History. ; Sodomy -- Arab countries -- History. ; Homosexuality in literature.</t>
  </si>
  <si>
    <t>https://ebookcentral.proquest.com/lib/viva-active/detail.action?docID=471853</t>
  </si>
  <si>
    <t>Erotic City : Sexual Revolutions and the Making of Modern San Francisco</t>
  </si>
  <si>
    <t>Sides, Josh</t>
  </si>
  <si>
    <t>Sex customs -- California -- San Francisco -- History. ; Sex -- California -- San Francisco -- History.</t>
  </si>
  <si>
    <t>https://ebookcentral.proquest.com/lib/viva-active/detail.action?docID=472082</t>
  </si>
  <si>
    <t>Sexual Selection and the Origins of Human Mating Systems</t>
  </si>
  <si>
    <t>Dixson, Alan F.</t>
  </si>
  <si>
    <t>Social Science; Science; Science: Zoology</t>
  </si>
  <si>
    <t>Sex. ; Sexual selection in animals. ; Human behavior. ; Human evolution.</t>
  </si>
  <si>
    <t>https://ebookcentral.proquest.com/lib/viva-active/detail.action?docID=472244</t>
  </si>
  <si>
    <t>Greed, Lust and Gender : A History of Economic Ideas</t>
  </si>
  <si>
    <t>Folbre, Nancy</t>
  </si>
  <si>
    <t>Economics -- Moral and ethical aspects. ; Men -- Economic conditions. ; Women -- Economic conditions. ; Avarice -- Sex differences. ; Lust -- Sex differences.</t>
  </si>
  <si>
    <t>https://ebookcentral.proquest.com/lib/viva-active/detail.action?docID=472259</t>
  </si>
  <si>
    <t>The Unfinished Revolution : How a New Generation Is Reshaping Family, Work, and Gender in America</t>
  </si>
  <si>
    <t>Gerson, Kathleen;Gerson, Kathleen</t>
  </si>
  <si>
    <t>Families -- United States. ; Work and family -- United States. ; Professional employees -- United States. ; Women employees -- United States. ; Male employees -- United States. ; Sex role -- United States.</t>
  </si>
  <si>
    <t>https://ebookcentral.proquest.com/lib/viva-active/detail.action?docID=472268</t>
  </si>
  <si>
    <t>Hard Hats, Rednecks, and Macho Men : Class in 1970s American Cinema</t>
  </si>
  <si>
    <t>Nystrom, Derek</t>
  </si>
  <si>
    <t>Working class in motion pictures. ; Rednecks in motion pictures. ; Men, White, in motion pictures. ; Masculinity in motion pictures. ; Motion pictures -- United States -- History -- 20th century.</t>
  </si>
  <si>
    <t>https://ebookcentral.proquest.com/lib/viva-active/detail.action?docID=472338</t>
  </si>
  <si>
    <t>The State of Sex : Tourism, Sex and Sin in the New American Heartland</t>
  </si>
  <si>
    <t>Sociology Re-Wired Ser.</t>
  </si>
  <si>
    <t>Brents, Barbara G.;Jackson, Crystal A.;Hausbeck, Kathryn</t>
  </si>
  <si>
    <t>Sex-oriented businesses - Nevada</t>
  </si>
  <si>
    <t>https://ebookcentral.proquest.com/lib/viva-active/detail.action?docID=472468</t>
  </si>
  <si>
    <t>The Last Male Bastion : Gender and the CEO Suite in America's Public Companies</t>
  </si>
  <si>
    <t>Branson, Douglas M.</t>
  </si>
  <si>
    <t>Women chief executive officers - United States</t>
  </si>
  <si>
    <t>https://ebookcentral.proquest.com/lib/viva-active/detail.action?docID=472496</t>
  </si>
  <si>
    <t>Development, Sexual Rights and Global Governance : Resisting Global Power</t>
  </si>
  <si>
    <t>RIPE Series in Global Political Economy Ser.</t>
  </si>
  <si>
    <t>Lind, Amy;Bergeron, Suzanne L.</t>
  </si>
  <si>
    <t>Sexual rights - Economic aspects</t>
  </si>
  <si>
    <t>https://ebookcentral.proquest.com/lib/viva-active/detail.action?docID=472509</t>
  </si>
  <si>
    <t>Connecting Boys with Books 2 : Closing the Reading Gap</t>
  </si>
  <si>
    <t>American Library Association</t>
  </si>
  <si>
    <t>Sullivan, Michael</t>
  </si>
  <si>
    <t>General Works/Reference</t>
  </si>
  <si>
    <t>Boys -- Books and reading -- United States. ; Teenage boys -- Books and reading -- United States. ; Reading -- Sex differences -- United States. ; Reading promotion -- United States. ; Sex differences in education -- United States. ; Children's libraries -- Activity programs -- United States. ; Young adults' libraries -- Activity programs -- United States.</t>
  </si>
  <si>
    <t>https://ebookcentral.proquest.com/lib/viva-active/detail.action?docID=474222</t>
  </si>
  <si>
    <t>Contemporary fathering : Theory, policy and practice</t>
  </si>
  <si>
    <t>Featherstone, Brigid</t>
  </si>
  <si>
    <t>Fatherhood</t>
  </si>
  <si>
    <t>https://ebookcentral.proquest.com/lib/viva-active/detail.action?docID=474730</t>
  </si>
  <si>
    <t>Gender and the Mexican Revolution : Yucatán Women and the Realities of Patriarchy</t>
  </si>
  <si>
    <t>Smith, Stephanie J.</t>
  </si>
  <si>
    <t>Yucatan (Mexico: State) - History - Revolution, 1910-1920 - Women</t>
  </si>
  <si>
    <t>https://ebookcentral.proquest.com/lib/viva-active/detail.action?docID=475207</t>
  </si>
  <si>
    <t>Hos, Hookers, Call Girls, and Rent Boys : Professionals Writing on Life, Love, Money, and Sex</t>
  </si>
  <si>
    <t>Soft Skull Press</t>
  </si>
  <si>
    <t>Sterry, David Henry;Martin, Jr., R. J.</t>
  </si>
  <si>
    <t>Social Science; Fiction</t>
  </si>
  <si>
    <t>Male prostitutes</t>
  </si>
  <si>
    <t>https://ebookcentral.proquest.com/lib/viva-active/detail.action?docID=478348</t>
  </si>
  <si>
    <t>The Nearest Exit May Be Behind You</t>
  </si>
  <si>
    <t>Arsenal Pulp Press</t>
  </si>
  <si>
    <t>Bergman, S. Bear</t>
  </si>
  <si>
    <t>Gays. ; Gender identity. ; Lesbians.</t>
  </si>
  <si>
    <t>https://ebookcentral.proquest.com/lib/viva-active/detail.action?docID=478436</t>
  </si>
  <si>
    <t>Law of Desire : A Queer Film Classic</t>
  </si>
  <si>
    <t>Queer Film Classics</t>
  </si>
  <si>
    <t>Quiroga, José</t>
  </si>
  <si>
    <t>Law of desire (Motion picture) ; Gays in motion picturs.</t>
  </si>
  <si>
    <t>https://ebookcentral.proquest.com/lib/viva-active/detail.action?docID=478794</t>
  </si>
  <si>
    <t>That's Revolting! : Queer Strategies for Resisting Assimilation</t>
  </si>
  <si>
    <t>Sycamore, Mattilda</t>
  </si>
  <si>
    <t>Gay liberation movement - United States</t>
  </si>
  <si>
    <t>https://ebookcentral.proquest.com/lib/viva-active/detail.action?docID=478886</t>
  </si>
  <si>
    <t>The Dictionary of Homophobia : A Global History of Gay &amp; Lesbian Experience</t>
  </si>
  <si>
    <t>Tin, Louis-Georges;Redburn, Marek</t>
  </si>
  <si>
    <t>Homophobia -- Dictionaries. ; Homosexuality -- Dictionaries.</t>
  </si>
  <si>
    <t>https://ebookcentral.proquest.com/lib/viva-active/detail.action?docID=478892</t>
  </si>
  <si>
    <t>Gods and Monsters : A Queer Film Classic</t>
  </si>
  <si>
    <t>Tsika, Noah</t>
  </si>
  <si>
    <t>Gods and monsters (Motion picture) ; Motion pictures -- United States -- 20th century.</t>
  </si>
  <si>
    <t>https://ebookcentral.proquest.com/lib/viva-active/detail.action?docID=478899</t>
  </si>
  <si>
    <t>Routledge Handbook of Sexuality, Health and Rights</t>
  </si>
  <si>
    <t>Sex -- Handbooks, manuals, etc. ; Sexual health -- Handbooks, manuals, etc. ; Human rights -- Handbooks, manuals, etc. ; Reproductive rights -- Handbooks, manuals, etc.</t>
  </si>
  <si>
    <t>https://ebookcentral.proquest.com/lib/viva-active/detail.action?docID=481050</t>
  </si>
  <si>
    <t>Sex Trafficking in South Asia : Telling Maya's Story</t>
  </si>
  <si>
    <t>Routledge Research on Gender in Asia Ser.</t>
  </si>
  <si>
    <t>Crawford, Mary</t>
  </si>
  <si>
    <t>Prostitution - South Asia</t>
  </si>
  <si>
    <t>https://ebookcentral.proquest.com/lib/viva-active/detail.action?docID=481080</t>
  </si>
  <si>
    <t>The Cultural Politics of Female Sexuality in South Africa</t>
  </si>
  <si>
    <t>Gunkel, Henriette</t>
  </si>
  <si>
    <t>Lesbianism -- South Africa. ; Women -- Sexual behavior -- South Africa.</t>
  </si>
  <si>
    <t>https://ebookcentral.proquest.com/lib/viva-active/detail.action?docID=481088</t>
  </si>
  <si>
    <t>The politics of parental leave policies : Children, parenting, gender and the labour market</t>
  </si>
  <si>
    <t>Kamerman, Sheila;Moss, Peter</t>
  </si>
  <si>
    <t>Parental leave -- Europe. ; Parental leave -- Government policy -- Europe.</t>
  </si>
  <si>
    <t>https://ebookcentral.proquest.com/lib/viva-active/detail.action?docID=481205</t>
  </si>
  <si>
    <t>Unfolding lives : Youth, gender and change</t>
  </si>
  <si>
    <t>Thomson, Rachel</t>
  </si>
  <si>
    <t>Youth -- Social conditions. ; Youth -- Conduct of life. ; Gender identity.</t>
  </si>
  <si>
    <t>https://ebookcentral.proquest.com/lib/viva-active/detail.action?docID=481213</t>
  </si>
  <si>
    <t>Blood, Guns, and Testosterone : Action Films, Audiences, and a Thirst for Violence</t>
  </si>
  <si>
    <t>Scarecrow Press</t>
  </si>
  <si>
    <t>Donovan, Barna William</t>
  </si>
  <si>
    <t>Action and adventure films - History and criticism</t>
  </si>
  <si>
    <t>https://ebookcentral.proquest.com/lib/viva-active/detail.action?docID=483826</t>
  </si>
  <si>
    <t>In Scripture : The First Stories of Jewish Sexual Identities</t>
  </si>
  <si>
    <t>Lefkovitz, Lori Hope</t>
  </si>
  <si>
    <t>Femininity in the Bible</t>
  </si>
  <si>
    <t>https://ebookcentral.proquest.com/lib/viva-active/detail.action?docID=483855</t>
  </si>
  <si>
    <t>Gender Diversity in Indonesia : Sexuality, Islam and Queer Selves</t>
  </si>
  <si>
    <t>ASAA Women in Asia Ser.</t>
  </si>
  <si>
    <t>Davies, Sharyn Graham</t>
  </si>
  <si>
    <t>Sexual minorities - Indonesia</t>
  </si>
  <si>
    <t>https://ebookcentral.proquest.com/lib/viva-active/detail.action?docID=484760</t>
  </si>
  <si>
    <t>Family Law, Sex and Society : A Comparative Study of Family Law</t>
  </si>
  <si>
    <t xml:space="preserve">De Cruz, Peter;Peter, De Cruz </t>
  </si>
  <si>
    <t>Domestic relations</t>
  </si>
  <si>
    <t>https://ebookcentral.proquest.com/lib/viva-active/detail.action?docID=484761</t>
  </si>
  <si>
    <t>Gender Violence in Russia : The Politics of Feminist Intervention</t>
  </si>
  <si>
    <t>Johnson, Janet Elise</t>
  </si>
  <si>
    <t>Women -- Violence against -- Russia (Federation) ; Family violence -- Russia (Federation) ; Sex crimes -- Russia (Federation)</t>
  </si>
  <si>
    <t>https://ebookcentral.proquest.com/lib/viva-active/detail.action?docID=485247</t>
  </si>
  <si>
    <t>Derek Jarmans Angelic Conversations</t>
  </si>
  <si>
    <t>Ellis, Jim</t>
  </si>
  <si>
    <t>Jarman, Derek, -- 1942-1994 -- Criticism and interpretation. ; Motion picture producers and directors -- Criticism and interpretation.</t>
  </si>
  <si>
    <t>https://ebookcentral.proquest.com/lib/viva-active/detail.action?docID=485439</t>
  </si>
  <si>
    <t>Pieties and Gender</t>
  </si>
  <si>
    <t>International Studies in Religion and Society Ser.</t>
  </si>
  <si>
    <t>Sjørup, Lene;Christensen, Hilda Rømer</t>
  </si>
  <si>
    <t>Sex -- Religious aspects -- Catholic Church. ; Sex -- Religious aspects -- Islam. ; Gender identity. ; Feminism.</t>
  </si>
  <si>
    <t>https://ebookcentral.proquest.com/lib/viva-active/detail.action?docID=489375</t>
  </si>
  <si>
    <t>Sexuality, Law and Legal Practice and the Reformation in Norway</t>
  </si>
  <si>
    <t>The Northern World Ser.</t>
  </si>
  <si>
    <t>Riisøy, Anne Irene</t>
  </si>
  <si>
    <t>Sex crimes -- Norway -- History. ; Sex and law -- Norway -- History. ; Sex -- Religious aspects -- Christianity -- History. ; Reformation -- Norway -- History. ; Law, Medieval -- History.</t>
  </si>
  <si>
    <t>https://ebookcentral.proquest.com/lib/viva-active/detail.action?docID=489472</t>
  </si>
  <si>
    <t>Imagining Soldiers and Fathers in the Mid-Victorian Era : Charlotte Yonge's Models of Manliness</t>
  </si>
  <si>
    <t>Walton, Susan, Dr</t>
  </si>
  <si>
    <t>Yonge, Charlotte M. -- (Charlotte Mary), -- 1823-1901 -- Criticism and interpretation. ; Yonge, Charlotte M. -- (Charlotte Mary), -- 1823-1901 -- Characters -- Men. ; Men in literature. ; Soldiers in literature. ; Fathers in literature. ; Masculinity in literature.</t>
  </si>
  <si>
    <t>https://ebookcentral.proquest.com/lib/viva-active/detail.action?docID=495319</t>
  </si>
  <si>
    <t>Transgender Identities : Towards a Social Analysis of Gender Diversity</t>
  </si>
  <si>
    <t>Hines, Sally;Sanger, Tam</t>
  </si>
  <si>
    <t>Transgender people -- Identity. ; Gender identity.</t>
  </si>
  <si>
    <t>https://ebookcentral.proquest.com/lib/viva-active/detail.action?docID=496310</t>
  </si>
  <si>
    <t>Screening Gender on Children's Television : The Views of Producers Around the World</t>
  </si>
  <si>
    <t>Lemish, Dafna</t>
  </si>
  <si>
    <t>Gender identity on television</t>
  </si>
  <si>
    <t>https://ebookcentral.proquest.com/lib/viva-active/detail.action?docID=496356</t>
  </si>
  <si>
    <t>Hermaphroditism, Medical Science and Sexual Identity in Spain, 1850-1960</t>
  </si>
  <si>
    <t>University of Wales Press</t>
  </si>
  <si>
    <t>Iberian and Latin American Studies</t>
  </si>
  <si>
    <t>Cleminson, Richard;García, Francisco Vásquez</t>
  </si>
  <si>
    <t>Medicine</t>
  </si>
  <si>
    <t>Intersexuality.</t>
  </si>
  <si>
    <t>https://ebookcentral.proquest.com/lib/viva-active/detail.action?docID=496649</t>
  </si>
  <si>
    <t>The Spirituality of Sex</t>
  </si>
  <si>
    <t>Psychology, Religion, and Spirituality Ser.</t>
  </si>
  <si>
    <t>Ellens, J. Harold</t>
  </si>
  <si>
    <t>Sex -- Religious aspects -- Christianity. ; Spirituality.</t>
  </si>
  <si>
    <t>https://ebookcentral.proquest.com/lib/viva-active/detail.action?docID=497036</t>
  </si>
  <si>
    <t>Space, Place, and Sex : Geographies of Sexualities</t>
  </si>
  <si>
    <t>Why of Where</t>
  </si>
  <si>
    <t>Johnston, Lynda;Longhurst, Robyn</t>
  </si>
  <si>
    <t>Space - Social aspects</t>
  </si>
  <si>
    <t>https://ebookcentral.proquest.com/lib/viva-active/detail.action?docID=500855</t>
  </si>
  <si>
    <t>Queer Women and Religious Individualism</t>
  </si>
  <si>
    <t>Wilcox, Melissa M.</t>
  </si>
  <si>
    <t>Lesbians -- California -- Los Angeles. ; Lesbians -- Religious life -- United States. ; Lesbians -- United States -- Social conditions.</t>
  </si>
  <si>
    <t>https://ebookcentral.proquest.com/lib/viva-active/detail.action?docID=501436</t>
  </si>
  <si>
    <t>Queer Spiritual Spaces : Sexuality and Sacred Places</t>
  </si>
  <si>
    <t>Browne, Kath;Munt, Sally R.;Yip, Andrew Kam-Tuck;Yip, Andrew Kam-Tuck</t>
  </si>
  <si>
    <t>Homosexuality -- Religious aspects. ; Sexual minorities -- Religious life. ; Sexual minorities -- Identity. ; Spiritual life.</t>
  </si>
  <si>
    <t>https://ebookcentral.proquest.com/lib/viva-active/detail.action?docID=513923</t>
  </si>
  <si>
    <t>Counselling Ideologies : Queer Challenges to Heteronormativity</t>
  </si>
  <si>
    <t>Moon, Lyndsey</t>
  </si>
  <si>
    <t>Gays -- Psychology. ; Gays -- Counseling of. ; Sexual minorities -- Psychology. ; Sexual minorities -- Counseling of. ; Queer theory -- Psychological aspects. ; Psychotherapy.</t>
  </si>
  <si>
    <t>https://ebookcentral.proquest.com/lib/viva-active/detail.action?docID=513946</t>
  </si>
  <si>
    <t>LGBT Identity and Online New Media</t>
  </si>
  <si>
    <t>Pullen, Christopher;Cooper, Margaret</t>
  </si>
  <si>
    <t>Sexual minorities -- Identity. ; Social media.</t>
  </si>
  <si>
    <t>https://ebookcentral.proquest.com/lib/viva-active/detail.action?docID=515336</t>
  </si>
  <si>
    <t>Upbuilding Black Durham : Gender, Class, and Black Community Development in the Jim Crow South</t>
  </si>
  <si>
    <t>The John Hope Franklin Series in African American History and Culture Ser.</t>
  </si>
  <si>
    <t>Brown, Leslie</t>
  </si>
  <si>
    <t>African Americans -- North Carolina -- Durham -- History. ; African Americans -- North Carolina -- Durham -- Social conditions. ; African American women -- North Carolina -- Durham -- History. ; Sex role -- North Carolina -- Durham -- History. ; African Americans -- North Carolina -- Durham -- Biography. ; Community life -- North Carolina -- Durham -- History. ; Social change -- North Carolina -- Durham -- History.</t>
  </si>
  <si>
    <t>https://ebookcentral.proquest.com/lib/viva-active/detail.action?docID=515679</t>
  </si>
  <si>
    <t>Ask and Tell : Gay and Lesbian Veterans Speak Out</t>
  </si>
  <si>
    <t>Estes, Steve</t>
  </si>
  <si>
    <t>Military Science</t>
  </si>
  <si>
    <t>Gay military personnel -- United States -- History. ; Gay military personnel -- United States -- Interviews. ; Oral history.</t>
  </si>
  <si>
    <t>https://ebookcentral.proquest.com/lib/viva-active/detail.action?docID=515684</t>
  </si>
  <si>
    <t>The Gay Games : A History</t>
  </si>
  <si>
    <t>Routledge Critical Studies in Sport Ser.</t>
  </si>
  <si>
    <t>Symons, Caroline;Hargreaves, Jennifer;McDonald, Ian</t>
  </si>
  <si>
    <t>Gay Games -- History. ; Gays and sports -- History.</t>
  </si>
  <si>
    <t>https://ebookcentral.proquest.com/lib/viva-active/detail.action?docID=517087</t>
  </si>
  <si>
    <t>Queer Theory: Law, Culture, Empire</t>
  </si>
  <si>
    <t>Leckey, Robert;Brooks, Kim</t>
  </si>
  <si>
    <t>Homosexuality - Law and legislation</t>
  </si>
  <si>
    <t>https://ebookcentral.proquest.com/lib/viva-active/detail.action?docID=534184</t>
  </si>
  <si>
    <t>Media Representations of Gender and Torture Post-9/11</t>
  </si>
  <si>
    <t>Routledge Studies in Rhetoric and Communication</t>
  </si>
  <si>
    <t>Gronnvoll, Marita</t>
  </si>
  <si>
    <t>Social Science; Political Science</t>
  </si>
  <si>
    <t>Women soldiers in mass media</t>
  </si>
  <si>
    <t>https://ebookcentral.proquest.com/lib/viva-active/detail.action?docID=534220</t>
  </si>
  <si>
    <t>Boy Named Sue : Gender and Country Music</t>
  </si>
  <si>
    <t>University Press of Mississippi</t>
  </si>
  <si>
    <t>McCusker, Kristine M.;Pecknold, Diane</t>
  </si>
  <si>
    <t>Country music -- History and criticism. ; Femininity in popular culture. ; Masculinity in popular culture.</t>
  </si>
  <si>
    <t>https://ebookcentral.proquest.com/lib/viva-active/detail.action?docID=534341</t>
  </si>
  <si>
    <t>Brickwork Level 1 : For CAA Construction Diploma and NVQs</t>
  </si>
  <si>
    <t>CRC Press LLC</t>
  </si>
  <si>
    <t>Thorpe, Malcolm</t>
  </si>
  <si>
    <t>Engineering; Engineering: Construction</t>
  </si>
  <si>
    <t>Bricklaying. ; Bricklaying -- Examinations, questions, etc. ; Bricklaying -- Examinations -- Study guides.</t>
  </si>
  <si>
    <t>https://ebookcentral.proquest.com/lib/viva-active/detail.action?docID=535278</t>
  </si>
  <si>
    <t>Arabic Sociolinguistics</t>
  </si>
  <si>
    <t>Bassiouney, Reem</t>
  </si>
  <si>
    <t>Sociolinguistics -- Arab countries. ; Language and culture -- Arab countries. ; Arabic language -- Social aspects. ; Arabic language -- Dialects.</t>
  </si>
  <si>
    <t>https://ebookcentral.proquest.com/lib/viva-active/detail.action?docID=536983</t>
  </si>
  <si>
    <t>Brokeback Mountain</t>
  </si>
  <si>
    <t>American Indies</t>
  </si>
  <si>
    <t>Needham, Gary</t>
  </si>
  <si>
    <t>Proulx, Annie. -- Brokeback Mountain. ; Brokeback Mountain (Motion picture) ; Homosexuality in motion pictures. ; Western films.</t>
  </si>
  <si>
    <t>https://ebookcentral.proquest.com/lib/viva-active/detail.action?docID=537024</t>
  </si>
  <si>
    <t>Dividing the Domestic : Men, Women, and Household Work in Cross-National Perspective</t>
  </si>
  <si>
    <t>Stanford University Press</t>
  </si>
  <si>
    <t>Studies in Social Inequality Ser.</t>
  </si>
  <si>
    <t>Treas, Judith;Drobnič, Sonja</t>
  </si>
  <si>
    <t>Sex role -- Cross-cultural studies. ; Sexual division of labor -- Cross-cultural studies. ; Housekeeping -- Social aspects -- Cross-cultural studies.</t>
  </si>
  <si>
    <t>https://ebookcentral.proquest.com/lib/viva-active/detail.action?docID=537844</t>
  </si>
  <si>
    <t>Rethinking Rape Law : International and Comparative Perspectives</t>
  </si>
  <si>
    <t>McGlynn, Clare;Munro, Vanessa E.</t>
  </si>
  <si>
    <t>Rape</t>
  </si>
  <si>
    <t>https://ebookcentral.proquest.com/lib/viva-active/detail.action?docID=537876</t>
  </si>
  <si>
    <t>The Politics of Trafficking : The First International Movement to Combat the Sexual Exploitation of Women</t>
  </si>
  <si>
    <t>Limoncelli, Stephanie</t>
  </si>
  <si>
    <t>Human trafficking -- Europe -- Prevention -- History. ; Prostitution -- Europe -- History. ; Women -- Crimes against -- Europe -- Prevention -- History. ; Social movements -- Europe -- History.</t>
  </si>
  <si>
    <t>https://ebookcentral.proquest.com/lib/viva-active/detail.action?docID=543998</t>
  </si>
  <si>
    <t>Containing (un)American Bodies : Race, Sexuality, and Post-9/11 Constructions of Citizenship</t>
  </si>
  <si>
    <t>Philosophy of Peace Ser.</t>
  </si>
  <si>
    <t>Bloodsworth-Lugo, Mary K.;Lugo-Lugo, Carmen R.</t>
  </si>
  <si>
    <t>Citizenship. ; Same-sex marriage -- Philosophy.</t>
  </si>
  <si>
    <t>https://ebookcentral.proquest.com/lib/viva-active/detail.action?docID=546578</t>
  </si>
  <si>
    <t>Quest for Harmony : The Moso Traditions of Sexual Union and Family Life</t>
  </si>
  <si>
    <t>Shih, Chuan-Kang</t>
  </si>
  <si>
    <t>Naxi (Chinese people) -- Sexual behavior. ; Naxi (Chinese people) -- Kinship. ; Naxi (Chinese people) -- Social life and customs. ; Matrilineal kinship -- China, Southwest. ; Sex role -- China, Southwest.</t>
  </si>
  <si>
    <t>https://ebookcentral.proquest.com/lib/viva-active/detail.action?docID=547321</t>
  </si>
  <si>
    <t>Sex Work Matters : Exploring Money, Power, and Intimacy in the Sex Industry</t>
  </si>
  <si>
    <t>Ditmore, Melissa Hope;Brents, Barbara G.;Pates, Rebecca;O'Neill, Maggie;Petro, Melissa;Pitcher, Jane;Schmidt, Daniel;Weldon, Jo;Hobbs, Carrie M.;Hausbeck, Kate</t>
  </si>
  <si>
    <t>Prostitutes -- Social conditions. ; Prostitution -- Social aspects. ; Sex-oriented businesses -- Social aspects.</t>
  </si>
  <si>
    <t>https://ebookcentral.proquest.com/lib/viva-active/detail.action?docID=547724</t>
  </si>
  <si>
    <t>Citizen, Invert, Queer : Lesbianism and War in Early Twentieth-Century Britain</t>
  </si>
  <si>
    <t>Cohler, Deborah</t>
  </si>
  <si>
    <t>Lesbianism -- Great Britain -- History -- 20th century. ; Nationalism and feminism -- Great Britain -- History -- 20th century. ; War and society -- Great Britain -- History -- 20th century. ; World War, 1914-1918 -- Social aspects -- Great Britain.</t>
  </si>
  <si>
    <t>https://ebookcentral.proquest.com/lib/viva-active/detail.action?docID=548052</t>
  </si>
  <si>
    <t>Queer Ricans : Cultures and Sexualities in the Diaspora</t>
  </si>
  <si>
    <t>Cultural Studies of the Americas</t>
  </si>
  <si>
    <t>La Fountain-Stokes, Lawrence</t>
  </si>
  <si>
    <t>Minority gays -- United States. ; Puerto Ricans -- United States -- Social life and customs.</t>
  </si>
  <si>
    <t>https://ebookcentral.proquest.com/lib/viva-active/detail.action?docID=548055</t>
  </si>
  <si>
    <t>Homophobia : The State of Sexual Bigotry Today</t>
  </si>
  <si>
    <t>Kantor, Martin</t>
  </si>
  <si>
    <t>Homophobia -- Psychological aspects. ; Heterosexism -- Psychological aspects. ; Homosexuality -- History. ; Gays -- Violence against. ; Paranoia. ; Toleration.</t>
  </si>
  <si>
    <t>https://ebookcentral.proquest.com/lib/viva-active/detail.action?docID=554296</t>
  </si>
  <si>
    <t>Pierre Loti and the Theatricality of Desire</t>
  </si>
  <si>
    <t>Faux Titre Ser.</t>
  </si>
  <si>
    <t>Turberfield, Peter James</t>
  </si>
  <si>
    <t>Loti, Pierre, -- 1850-1923 -- Criticism and interpretation. ; Desire in literature. ; Exoticism in literature. ; Sex in literature. ; Women in literature.</t>
  </si>
  <si>
    <t>https://ebookcentral.proquest.com/lib/viva-active/detail.action?docID=556599</t>
  </si>
  <si>
    <t>Everyday Pornography</t>
  </si>
  <si>
    <t>Boyle, Karen</t>
  </si>
  <si>
    <t>Sex in mass media</t>
  </si>
  <si>
    <t>https://ebookcentral.proquest.com/lib/viva-active/detail.action?docID=557269</t>
  </si>
  <si>
    <t>Social Theory in Contemporary Asia</t>
  </si>
  <si>
    <t>Routledge Studies in Social and Political Thought Ser.</t>
  </si>
  <si>
    <t>Brooks, Ann</t>
  </si>
  <si>
    <t>Social sciences -- Asia -- Philosophy. ; Philosophy, Asian.</t>
  </si>
  <si>
    <t>https://ebookcentral.proquest.com/lib/viva-active/detail.action?docID=557271</t>
  </si>
  <si>
    <t>Chinese Male Homosexualities : Memba, Tongzhi and Golden Boy</t>
  </si>
  <si>
    <t>Kong, Travis S. K.</t>
  </si>
  <si>
    <t>Gay men - China - Identity</t>
  </si>
  <si>
    <t>https://ebookcentral.proquest.com/lib/viva-active/detail.action?docID=557301</t>
  </si>
  <si>
    <t>Gender and Global Restructuring : Sightings, Sites and Resistances</t>
  </si>
  <si>
    <t>Marchand, Marianne H.;Runyan, Anne Sisson</t>
  </si>
  <si>
    <t>Women - Social conditions</t>
  </si>
  <si>
    <t>https://ebookcentral.proquest.com/lib/viva-active/detail.action?docID=565426</t>
  </si>
  <si>
    <t>Building a Housewife's Paradise : Gender, Politics, and American Grocery Stores in the Twentieth Century</t>
  </si>
  <si>
    <t>Deutsch, Tracey</t>
  </si>
  <si>
    <t>Supermarkets -- United States -- History -- 20th century. ; Grocery trade -- Social aspects -- United States -- History -- 20th century. ; Grocery shopping -- Social aspects -- United States -- History -- 20th century. ; Women consumers -- United States -- History -- 20th century.</t>
  </si>
  <si>
    <t>https://ebookcentral.proquest.com/lib/viva-active/detail.action?docID=565690</t>
  </si>
  <si>
    <t>Hidden Truth : Young Men Navigating Lives in and Out of Juvenile Prison</t>
  </si>
  <si>
    <t>Reich, Adam</t>
  </si>
  <si>
    <t>Juvenile corrections</t>
  </si>
  <si>
    <t>https://ebookcentral.proquest.com/lib/viva-active/detail.action?docID=566748</t>
  </si>
  <si>
    <t>Out and Running : Gay and Lesbian Candidates, Elections, and Policy Representation</t>
  </si>
  <si>
    <t>Georgetown University Press</t>
  </si>
  <si>
    <t>American Governance and Public Policy Series</t>
  </si>
  <si>
    <t>Haider-Markel, Donald P.</t>
  </si>
  <si>
    <t>Gays -- Political activity -- United States. ; Gay politicians -- United States. ; Political campaigns -- United States. ; Elections -- United States.</t>
  </si>
  <si>
    <t>https://ebookcentral.proquest.com/lib/viva-active/detail.action?docID=570355</t>
  </si>
  <si>
    <t>Equality, Dignity, and Same-Sex Marriage : A Rights Disagreement in Democratic Societies</t>
  </si>
  <si>
    <t>Lee, Man Yee Karen;Lee, Karen</t>
  </si>
  <si>
    <t>Same-sex marriage -- Law and legislation. ; Civil unions -- Law and legislation. ; Gay couples -- Legal status, laws, etc. ; Gay rights. ; Equality before the law.</t>
  </si>
  <si>
    <t>https://ebookcentral.proquest.com/lib/viva-active/detail.action?docID=583747</t>
  </si>
  <si>
    <t>The Spiv and the Architect : Unruly Life in Postwar London</t>
  </si>
  <si>
    <t>Hornsey, Richard</t>
  </si>
  <si>
    <t>Homosexuality -- England -- London -- History -- 20th century. ; Reconstruction (1939-1951) -- England -- London. ; Urban policy -- England -- London -- History -- 20th century. ; London (England) -- Social conditions -- 20th century. ; London (England) -- Social life and customs -- 20th century.</t>
  </si>
  <si>
    <t>https://ebookcentral.proquest.com/lib/viva-active/detail.action?docID=592801</t>
  </si>
  <si>
    <t>Domestic and Sexual Violence and Abuse : Tackling the Health and Mental Health Effects</t>
  </si>
  <si>
    <t>Itzin, Catherine;Taket, Ann;Barter-Godfrey, Sarah</t>
  </si>
  <si>
    <t>Social Science; Psychology; Medicine</t>
  </si>
  <si>
    <t>Sex Offenses - psychology</t>
  </si>
  <si>
    <t>https://ebookcentral.proquest.com/lib/viva-active/detail.action?docID=592912</t>
  </si>
  <si>
    <t>Contextualizing Gender in Early Christian Discourse : Thinking Beyond Thecla</t>
  </si>
  <si>
    <t>Stichele, Caroline Vander;Penner, Todd</t>
  </si>
  <si>
    <t>Bible. -- N.T. -- Criticism, interpretation, etc. ; Gender identity. ; Sex role -- Religious aspects -- Christianity.</t>
  </si>
  <si>
    <t>https://ebookcentral.proquest.com/lib/viva-active/detail.action?docID=601587</t>
  </si>
  <si>
    <t>Conversations</t>
  </si>
  <si>
    <t>Irigaray, Luce;Pluha´c?ek, Stephen</t>
  </si>
  <si>
    <t>Irigaray, Luce -- Interviews. ; Feminist theory. ; Critical theory. ; Philosophy, European. ; Philosophy, French -- 20th century.</t>
  </si>
  <si>
    <t>https://ebookcentral.proquest.com/lib/viva-active/detail.action?docID=601789</t>
  </si>
  <si>
    <t>Debates in Transgender, Queer, and Feminist Theory : Contested Sites</t>
  </si>
  <si>
    <t>Elliot, Patricia</t>
  </si>
  <si>
    <t>Transgenderism. ; Feminist theory. ; Gender identity. ; Queer theory.</t>
  </si>
  <si>
    <t>https://ebookcentral.proquest.com/lib/viva-active/detail.action?docID=605139</t>
  </si>
  <si>
    <t>Gender Equality Around the World : Articles from World of Work Magazine, 1999-2006</t>
  </si>
  <si>
    <t>International Labour Office</t>
  </si>
  <si>
    <t>Women's rights. ; Sex discrimination against women. ; Equality.</t>
  </si>
  <si>
    <t>https://ebookcentral.proquest.com/lib/viva-active/detail.action?docID=605734</t>
  </si>
  <si>
    <t>Coming Out under Fire : The History of Gay Men and Women in World War II</t>
  </si>
  <si>
    <t>Bérubé, Allan;Bérubé, Allan;D'Emilio, John</t>
  </si>
  <si>
    <t>World War, 1939-1945 -- Participation, Gay. ; Gay military personnel -- United States -- History -- 20th century. ; Gays -- United States -- History -- 20th century. ; United States -- Armed Forces -- History -- World War, 1939-1945.</t>
  </si>
  <si>
    <t>https://ebookcentral.proquest.com/lib/viva-active/detail.action?docID=605905</t>
  </si>
  <si>
    <t>Prescription for Heterosexuality : Sexual Citizenship in the Cold War Era</t>
  </si>
  <si>
    <t>Lewis, Carolyn Herbst</t>
  </si>
  <si>
    <t>Sex -- United States -- History -- 20th century. ; Heterosexuality -- United States -- History -- 20th century. ; Married people -- Sexual behavior -- United States -- History -- 20th century. ; Citizenship -- United States -- History -- 20th century. ; United States -- Social conditions -- 20th century.</t>
  </si>
  <si>
    <t>https://ebookcentral.proquest.com/lib/viva-active/detail.action?docID=605919</t>
  </si>
  <si>
    <t>Sexual Injustice : Supreme Court Decisions from Griswold to Roe</t>
  </si>
  <si>
    <t>Stein, Marc</t>
  </si>
  <si>
    <t>United States. -- Supreme Court. ; Constitutional law -- United States -- Cases. ; Sex and law -- United States -- Cases. ; Gays -- Legal status, laws, etc. -- United States -- Cases.</t>
  </si>
  <si>
    <t>https://ebookcentral.proquest.com/lib/viva-active/detail.action?docID=605940</t>
  </si>
  <si>
    <t>Overcoming Objectification : A Carnal Ethics</t>
  </si>
  <si>
    <t>Cahill, Ann J.</t>
  </si>
  <si>
    <t>Women - Identity</t>
  </si>
  <si>
    <t>https://ebookcentral.proquest.com/lib/viva-active/detail.action?docID=614983</t>
  </si>
  <si>
    <t>Same-Sex Marriage in the Americas : Policy Innovation for Same-Sex Relationships</t>
  </si>
  <si>
    <t>Pierceson, Jason;Piatti-Crocker, Adriana;Schulenberg, Shawn;Khanani, Ahmed;Lozano, Genaro;Nicol, Nancy;Rayside, David;Robinson, Jean C.;Saldivia, Laura;Smith, Miriam</t>
  </si>
  <si>
    <t>Gay couples - Legal status, laws, etc - America</t>
  </si>
  <si>
    <t>https://ebookcentral.proquest.com/lib/viva-active/detail.action?docID=616230</t>
  </si>
  <si>
    <t>Border Sexualities, Border Families in Schools</t>
  </si>
  <si>
    <t>Curriculum, Cultures, and (Homo)Sexualities Series</t>
  </si>
  <si>
    <t>Pallotta-Chiarolli, Maria</t>
  </si>
  <si>
    <t>Education; Social Science</t>
  </si>
  <si>
    <t>Sexual minority students</t>
  </si>
  <si>
    <t>https://ebookcentral.proquest.com/lib/viva-active/detail.action?docID=616337</t>
  </si>
  <si>
    <t>Language, Gender and Children's Fiction</t>
  </si>
  <si>
    <t>Sunderland, Jane</t>
  </si>
  <si>
    <t>Children's stories -- History and criticism. ; Discourse analysis, Literary. ; Sex role in literature. ; Gender identity in literature. ; Language and sex.</t>
  </si>
  <si>
    <t>https://ebookcentral.proquest.com/lib/viva-active/detail.action?docID=617198</t>
  </si>
  <si>
    <t>Masculinity and Femininity in the MMPI-2 and MMPI-A</t>
  </si>
  <si>
    <t>Martin, Hale;Finn, Stephen E.</t>
  </si>
  <si>
    <t>Short stories, American. ; Gulf Coast (U.S.) -- Fiction.</t>
  </si>
  <si>
    <t>https://ebookcentral.proquest.com/lib/viva-active/detail.action?docID=619240</t>
  </si>
  <si>
    <t>Crossing the Barriers : The Autobiography of Allan H. Spear</t>
  </si>
  <si>
    <t>Spear, Allan H.;Frank, Barney;Milton, John</t>
  </si>
  <si>
    <t>History; Political Science</t>
  </si>
  <si>
    <t>Spear, Allan H. ; Minnesota. -- Legislature. -- Senate -- Biography. ; Legislators -- Minnesota -- Biography. ; Gay politicians -- Minnesota -- Biography. ; Civil rights workers -- United States -- Biography. ; Gay liberation movement -- Minnesota. ; Minnesota -- Politics and government -- 1951-</t>
  </si>
  <si>
    <t>https://ebookcentral.proquest.com/lib/viva-active/detail.action?docID=619241</t>
  </si>
  <si>
    <t>Emotions, Ethics, and Authenticity</t>
  </si>
  <si>
    <t>John Benjamins Publishing Company</t>
  </si>
  <si>
    <t>Salmela, Mikko;Mayer, Verena</t>
  </si>
  <si>
    <t>Communication in community development -- Africa -- Case studies. ; Telecommunication -- Africa. ; Telecommuting centers -- Africa -- Case studies. ; Information technology -- Africa.</t>
  </si>
  <si>
    <t>https://ebookcentral.proquest.com/lib/viva-active/detail.action?docID=622510</t>
  </si>
  <si>
    <t>Gender, Language and Culture : A study of Japanese television interview discourse</t>
  </si>
  <si>
    <t>Tanaka, Lidia</t>
  </si>
  <si>
    <t>General Works/Reference; Language/Linguistics</t>
  </si>
  <si>
    <t>Japanese language -- Discourse analysis. ; Conversation analysis -- Social aspects -- Japan. ; Interviewing in mass media -- Japan. ; Communication -- Sex differences.</t>
  </si>
  <si>
    <t>https://ebookcentral.proquest.com/lib/viva-active/detail.action?docID=622603</t>
  </si>
  <si>
    <t>Language, Gender and Sexual Identity : Poststructuralist perspectives</t>
  </si>
  <si>
    <t>Motschenbacher, Heiko</t>
  </si>
  <si>
    <t>Cappetta, Gary Michael. ; Wrestling. ; Wrestling -- Biography.</t>
  </si>
  <si>
    <t>https://ebookcentral.proquest.com/lib/viva-active/detail.action?docID=623369</t>
  </si>
  <si>
    <t>Sexed Sentiments : Interdisciplinary Perspectives on Gender and Emotion</t>
  </si>
  <si>
    <t>Critical Studies</t>
  </si>
  <si>
    <t>Ruberg, Willemijn;Steenbergh, Kristine</t>
  </si>
  <si>
    <t>Emotions -- Sex differences. ; Sex role.</t>
  </si>
  <si>
    <t>https://ebookcentral.proquest.com/lib/viva-active/detail.action?docID=624282</t>
  </si>
  <si>
    <t>Pinks, Pansies, and Punks : The Rhetoric of Masculinity in American Literary Culture</t>
  </si>
  <si>
    <t>Penner, James</t>
  </si>
  <si>
    <t>American literature -- Male authors -- History and criticism. ; American literature -- 20th century -- History and criticism. ; Gender identity in literature. ; Literature and society -- United States -- History -- 20th century. ; Masculinity in literature. ; Men in literature. ; Social classes in literature.</t>
  </si>
  <si>
    <t>https://ebookcentral.proquest.com/lib/viva-active/detail.action?docID=624330</t>
  </si>
  <si>
    <t>Feminism is Queer : The Intimate Connection between Queer and Feminist Theory</t>
  </si>
  <si>
    <t>Marinucci, Mimi</t>
  </si>
  <si>
    <t>Feminist theory. ; Queer theory. ; Gender identity.</t>
  </si>
  <si>
    <t>https://ebookcentral.proquest.com/lib/viva-active/detail.action?docID=625225</t>
  </si>
  <si>
    <t>Playing Ball with the Boys : The Rise of Women in the World of Men's Sports</t>
  </si>
  <si>
    <t>Clerisy Press</t>
  </si>
  <si>
    <t>Ross, Betsy</t>
  </si>
  <si>
    <t>Sports for women -- United States. ; Women athletes -- United States.</t>
  </si>
  <si>
    <t>https://ebookcentral.proquest.com/lib/viva-active/detail.action?docID=634495</t>
  </si>
  <si>
    <t>Juvenile Sexuality, Kabbalah, and Catholic Reformation in Italy : Tiferet Bahurim by Pinhas Barukh Ben Pelatiyah Monselice</t>
  </si>
  <si>
    <t>Studies in Jewish History and Culture Ser.</t>
  </si>
  <si>
    <t>Weinstein, Roni</t>
  </si>
  <si>
    <t>Monselice, Pinchas. -- Tif?eret ba?urim. ; Sex -- Religious aspects -- Judaism. ; Young men -- Sexual behavior -- Italy -- History -- 17th century. ; Youth -- Sexual behavior -- Italy -- History -- 17th century. ; Sex instruction for youth -- Italy -- History -- 17th century. ; Cabala -- History -- 17th century. ; Rabbinical literature -- History and criticism.</t>
  </si>
  <si>
    <t>https://ebookcentral.proquest.com/lib/viva-active/detail.action?docID=634957</t>
  </si>
  <si>
    <t>Lost Bodies : Prostitution and Masculinity in Chinese Fiction</t>
  </si>
  <si>
    <t>Women and Gender in China Studies</t>
  </si>
  <si>
    <t>Zamperini, Paola</t>
  </si>
  <si>
    <t>Prostitution -- China -- History. ; Prostitutes -- China -- History. ; Prostitutes in literature -- History.</t>
  </si>
  <si>
    <t>https://ebookcentral.proquest.com/lib/viva-active/detail.action?docID=635146</t>
  </si>
  <si>
    <t>Right to Be Out : Sexual Orientation and Gender Identity in America's Public Schools</t>
  </si>
  <si>
    <t>Biegel, Stuart</t>
  </si>
  <si>
    <t>Entrepreneurship. ; New business enterprises -- Management.</t>
  </si>
  <si>
    <t>https://ebookcentral.proquest.com/lib/viva-active/detail.action?docID=635540</t>
  </si>
  <si>
    <t>Gender Disparities in Africa's Labor Market</t>
  </si>
  <si>
    <t xml:space="preserve">Arbache, Jorge Saba;Kolev, Alexandre;Filipiak, Ewa;Wodon, Quentin ;World Bank, </t>
  </si>
  <si>
    <t>Sex discrimination in employment -- Africa. ; Sexual division of labor -- Africa. ; Labor market -- Africa.</t>
  </si>
  <si>
    <t>https://ebookcentral.proquest.com/lib/viva-active/detail.action?docID=635554</t>
  </si>
  <si>
    <t>Sex in Psychotherapy : Sexuality, Passion, Love, and Desire in the Therapeutic Encounter</t>
  </si>
  <si>
    <t>Hedges, Lawrence E.</t>
  </si>
  <si>
    <t>Sex - Psychological aspects</t>
  </si>
  <si>
    <t>https://ebookcentral.proquest.com/lib/viva-active/detail.action?docID=646532</t>
  </si>
  <si>
    <t>Please Select Your Gender : From the Invention of Hysteria to the Democratizing of Transgenderism</t>
  </si>
  <si>
    <t>Gherovici, Patricia</t>
  </si>
  <si>
    <t>Transgender people</t>
  </si>
  <si>
    <t>https://ebookcentral.proquest.com/lib/viva-active/detail.action?docID=646543</t>
  </si>
  <si>
    <t>Culturally Responsive Counseling with Asian American Men</t>
  </si>
  <si>
    <t>The Routledge Series on Counseling and Psychotherapy with Boys and Men Ser.</t>
  </si>
  <si>
    <t>Ming Liu, William;Iwamoto, Derek Kenji;Chae, Mark H.</t>
  </si>
  <si>
    <t>Asian American men - Counseling</t>
  </si>
  <si>
    <t>https://ebookcentral.proquest.com/lib/viva-active/detail.action?docID=646551</t>
  </si>
  <si>
    <t>Psychotherapy with Older Men</t>
  </si>
  <si>
    <t>Vacha-Haase, Tammi;Wester, Stephen R.;Christianson, Heidi Fowell</t>
  </si>
  <si>
    <t>Older men - Mental health</t>
  </si>
  <si>
    <t>https://ebookcentral.proquest.com/lib/viva-active/detail.action?docID=646554</t>
  </si>
  <si>
    <t>Actual Energy Consumption in Dwellings : The Effect of Energy Performance Regulations and Occupant Behaviour</t>
  </si>
  <si>
    <t>IOS Press</t>
  </si>
  <si>
    <t>Sustainable Urban Areas</t>
  </si>
  <si>
    <t>Guerra Santin, O.</t>
  </si>
  <si>
    <t>Engineering: Mechanical; Engineering; Home Economics</t>
  </si>
  <si>
    <t>Dwellings -- Energy consumption.</t>
  </si>
  <si>
    <t>https://ebookcentral.proquest.com/lib/viva-active/detail.action?docID=647900</t>
  </si>
  <si>
    <t>Queer Twin Cities</t>
  </si>
  <si>
    <t>Murphy, Kevin P.;Pierce, Jennifer L.;Knopp, Larry</t>
  </si>
  <si>
    <t>QuickBooks. ; Small business -- Accounting -- Computer programs. ; Small business -- Finance -- Computer programs.</t>
  </si>
  <si>
    <t>https://ebookcentral.proquest.com/lib/viva-active/detail.action?docID=648093</t>
  </si>
  <si>
    <t>The Limits of Gendered Citizenship : Contexts and Complexities</t>
  </si>
  <si>
    <t>Routledge Advances in Feminist Studies and Intersectionality Ser.</t>
  </si>
  <si>
    <t>Oleksy, Elżbieta H.;Hearn, Jeff;Golańska, Dorota</t>
  </si>
  <si>
    <t>Sex role - Europe</t>
  </si>
  <si>
    <t>https://ebookcentral.proquest.com/lib/viva-active/detail.action?docID=652852</t>
  </si>
  <si>
    <t>Gender and the Construction of Hegemonic and Oppositional Femininities</t>
  </si>
  <si>
    <t>Charlebois, Justin</t>
  </si>
  <si>
    <t>Psychology; Social Science</t>
  </si>
  <si>
    <t>Femininity</t>
  </si>
  <si>
    <t>https://ebookcentral.proquest.com/lib/viva-active/detail.action?docID=653890</t>
  </si>
  <si>
    <t>Sex Panic and the Punitive State</t>
  </si>
  <si>
    <t>Lancaster, Roger N.</t>
  </si>
  <si>
    <t>Sex crimes - Press coverage - Political aspects - United States</t>
  </si>
  <si>
    <t>https://ebookcentral.proquest.com/lib/viva-active/detail.action?docID=656362</t>
  </si>
  <si>
    <t>Sexual Health in Recovery : A Professional Counselor's Manual</t>
  </si>
  <si>
    <t>Springer Publishing Company</t>
  </si>
  <si>
    <t xml:space="preserve">Braun-Harvey, Douglas;Ma, Douglas Braun ;Douglas Braun-Harvey Ma, Cst </t>
  </si>
  <si>
    <t>Counseling. ; Drug addiction -- Treatment. ; Sex.</t>
  </si>
  <si>
    <t>https://ebookcentral.proquest.com/lib/viva-active/detail.action?docID=660524</t>
  </si>
  <si>
    <t>Thug Life : Race, Gender, and the Meaning of Hip-Hop</t>
  </si>
  <si>
    <t>Jeffries, Michael P.</t>
  </si>
  <si>
    <t>Rap (Music) -- Social aspects -- United States. ; Hip-hop -- Social aspects -- United States.</t>
  </si>
  <si>
    <t>https://ebookcentral.proquest.com/lib/viva-active/detail.action?docID=660539</t>
  </si>
  <si>
    <t>Gender and Macroeconomic Policy</t>
  </si>
  <si>
    <t>Directions in Development</t>
  </si>
  <si>
    <t xml:space="preserve">Nallari, Raj;Griffith, Breda;Griffith, Breda </t>
  </si>
  <si>
    <t>Economics; Business/Management; Social Science</t>
  </si>
  <si>
    <t>Women -- Economic conditions. ; Sexual division of labor. ; Sex discrimination against women -- Economic aspects. ; Income distribution -- Sex differences. ; Economic policy. ; Macroeconomics.</t>
  </si>
  <si>
    <t>https://ebookcentral.proquest.com/lib/viva-active/detail.action?docID=660557</t>
  </si>
  <si>
    <t>Polyamory in the 21st Century : Love and Intimacy with Multiple Partners</t>
  </si>
  <si>
    <t>Anapol, Deborah</t>
  </si>
  <si>
    <t>Open marriage</t>
  </si>
  <si>
    <t>https://ebookcentral.proquest.com/lib/viva-active/detail.action?docID=662227</t>
  </si>
  <si>
    <t>Finding and Revealing Your Sexual Self : A Guide to Communicating about Sex</t>
  </si>
  <si>
    <t>Bennett, Libby;Holczer, Ginger</t>
  </si>
  <si>
    <t>Communication in sex</t>
  </si>
  <si>
    <t>https://ebookcentral.proquest.com/lib/viva-active/detail.action?docID=662298</t>
  </si>
  <si>
    <t>Globalizing the Postcolony : Contesting Discourses of Gender and Development in Francophone Africa</t>
  </si>
  <si>
    <t>After the Empire: The Francophone World and Postcolonial France</t>
  </si>
  <si>
    <t>Griffiths, Claire H.</t>
  </si>
  <si>
    <t>Postcolonialism - African, West</t>
  </si>
  <si>
    <t>https://ebookcentral.proquest.com/lib/viva-active/detail.action?docID=662318</t>
  </si>
  <si>
    <t>Early Modern Women in the Low Countries : Feminizing Sources and Interpretations of the Past</t>
  </si>
  <si>
    <t>Women and Gender in the Early Modern World Ser.</t>
  </si>
  <si>
    <t>Broomhall, Susan;Spinks, Jennifer;Poska, Professor Allyson M;Zanger, Professor Abby</t>
  </si>
  <si>
    <t>Women -- Low counties -- Social conditions. ; Women -- Benelux countries -- History.</t>
  </si>
  <si>
    <t>https://ebookcentral.proquest.com/lib/viva-active/detail.action?docID=665342</t>
  </si>
  <si>
    <t>Gender, Sexuality, and Meaning : Linguistic Practice and Politics</t>
  </si>
  <si>
    <t>McConnell-Ginet, Sally</t>
  </si>
  <si>
    <t>Language and languages -- Sex differences. ; Semantics (Philosophy) ; Semantics.</t>
  </si>
  <si>
    <t>https://ebookcentral.proquest.com/lib/viva-active/detail.action?docID=665445</t>
  </si>
  <si>
    <t>Conversation and Gender</t>
  </si>
  <si>
    <t>Speer, Susan A.;Stokoe, Elizabeth</t>
  </si>
  <si>
    <t>Language/Linguistics</t>
  </si>
  <si>
    <t>Language and sex. ; Conversation analysis. ; Discourse analysis. ; Oral communication -- Sex differences.</t>
  </si>
  <si>
    <t>https://ebookcentral.proquest.com/lib/viva-active/detail.action?docID=667602</t>
  </si>
  <si>
    <t>Innocence, Heterosexuality, and the Queerness of Children's Literature</t>
  </si>
  <si>
    <t>Children's Literature and Culture Ser.</t>
  </si>
  <si>
    <t>Pugh, Tison</t>
  </si>
  <si>
    <t>Heterosexism in literature</t>
  </si>
  <si>
    <t>https://ebookcentral.proquest.com/lib/viva-active/detail.action?docID=668162</t>
  </si>
  <si>
    <t>Boys and Their Schooling : The Experience of Becoming Someone Else</t>
  </si>
  <si>
    <t>Routledge Research in Education Ser.</t>
  </si>
  <si>
    <t>Whelen, John</t>
  </si>
  <si>
    <t>Boys - Education</t>
  </si>
  <si>
    <t>https://ebookcentral.proquest.com/lib/viva-active/detail.action?docID=668795</t>
  </si>
  <si>
    <t>Boys at Home : Discipline, Masculinity, and the Boy-Problem in Nineteenth-Century American Literature</t>
  </si>
  <si>
    <t>University of Tennessee Press</t>
  </si>
  <si>
    <t>Parille, Ken</t>
  </si>
  <si>
    <t>American fiction -- 19th century -- History and criticism. ; Boys in literature. ; Boys -- Books and reading -- United States. ; Boys -- Education -- United States -- History -- 19th century. ; Children in literature. ; Children's stories, American -- History and criticism. ; Masculinity in literature.</t>
  </si>
  <si>
    <t>https://ebookcentral.proquest.com/lib/viva-active/detail.action?docID=668933</t>
  </si>
  <si>
    <t>Androgynous Democracy : Modern American Literature and the Dual-Sexed Body Politic</t>
  </si>
  <si>
    <t>Shaheen, Aaron</t>
  </si>
  <si>
    <t>American literature -- 19th century -- History and criticism. ; American literature -- 20th century -- History and criticism. ; Modernism (Literature) -- United States. ; Politics and literature -- United States -- History -- 19th century. ; Politics and literature -- United States -- History -- 20th century. ; Sex in literature.</t>
  </si>
  <si>
    <t>https://ebookcentral.proquest.com/lib/viva-active/detail.action?docID=668937</t>
  </si>
  <si>
    <t>Manners and Mischief : Gender, Power, and Etiquette in Japan</t>
  </si>
  <si>
    <t>Bardsley, Jan;Miller, Laura</t>
  </si>
  <si>
    <t>Etiquette -- Japan. ; Sex role -- Japan. ; Power (Social sciences) -- Japan. ; Japan -- Social life and customs.</t>
  </si>
  <si>
    <t>https://ebookcentral.proquest.com/lib/viva-active/detail.action?docID=669816</t>
  </si>
  <si>
    <t>Playing on the Edge : Sadomasochism, Risk, and Intimacy</t>
  </si>
  <si>
    <t>Newmahr, Staci</t>
  </si>
  <si>
    <t>Sadomasochism. ; Sexual dominance and submission. ; Sadomasochists -- Case studies.</t>
  </si>
  <si>
    <t>https://ebookcentral.proquest.com/lib/viva-active/detail.action?docID=670270</t>
  </si>
  <si>
    <t>Engendering Curriculum History</t>
  </si>
  <si>
    <t>Studies in Curriculum Theory Ser.</t>
  </si>
  <si>
    <t>Hendry, Petra</t>
  </si>
  <si>
    <t>Education - Curricula - History</t>
  </si>
  <si>
    <t>https://ebookcentral.proquest.com/lib/viva-active/detail.action?docID=672419</t>
  </si>
  <si>
    <t>Writing the Love of Boys : Origins of Bishonen Culture in Modernist Japanese Literature</t>
  </si>
  <si>
    <t>Angles, Jeffrey</t>
  </si>
  <si>
    <t>International Monetary Fund. ; Financial institutions -- Serbia. ; Financial policy -- Serbia. ; Serbia -- Economic conditions.</t>
  </si>
  <si>
    <t>https://ebookcentral.proquest.com/lib/viva-active/detail.action?docID=673645</t>
  </si>
  <si>
    <t>Obsession : Male Same-Sex Relations in China, 1900-1950</t>
  </si>
  <si>
    <t>Hong Kong University Press</t>
  </si>
  <si>
    <t>Queer Asia Series</t>
  </si>
  <si>
    <t>Kang, Wenqing</t>
  </si>
  <si>
    <t>Male homosexuality -- China. ; Gay men -- China.</t>
  </si>
  <si>
    <t>https://ebookcentral.proquest.com/lib/viva-active/detail.action?docID=677427</t>
  </si>
  <si>
    <t>As Normal As Possible : Negotiating Sexuality and Gender in Mainland China and Hong Kong</t>
  </si>
  <si>
    <t>Queer Asia</t>
  </si>
  <si>
    <t>Yau, Ching</t>
  </si>
  <si>
    <t>Web sites -- Design. ; HTML (Document markup language)</t>
  </si>
  <si>
    <t>https://ebookcentral.proquest.com/lib/viva-active/detail.action?docID=677589</t>
  </si>
  <si>
    <t>Guyana Diaries : Women's Lives Across Difference</t>
  </si>
  <si>
    <t>Writing Lives: Ethnographic Narratives Ser.</t>
  </si>
  <si>
    <t>Nettles, Kimberly D.</t>
  </si>
  <si>
    <t>Women -- Guyana -- Biography. ; Women -- Guyana -- Social conditions.</t>
  </si>
  <si>
    <t>https://ebookcentral.proquest.com/lib/viva-active/detail.action?docID=677819</t>
  </si>
  <si>
    <t>Prostitution in the Digital Age : Selling Sex from the Suite to the Street</t>
  </si>
  <si>
    <t>Flowers, R. Barri</t>
  </si>
  <si>
    <t>Prostitution -- United States. ; Prostitutes -- United States. ; Digital media. ; Sex-oriented businesses.</t>
  </si>
  <si>
    <t>https://ebookcentral.proquest.com/lib/viva-active/detail.action?docID=678330</t>
  </si>
  <si>
    <t>Henry James and the Queerness of Style : Secrecy and Power in American Culture</t>
  </si>
  <si>
    <t>Ohi, Kevin</t>
  </si>
  <si>
    <t>Lungs -- Pathophysiology. ; Lungs -- Diseases.</t>
  </si>
  <si>
    <t>https://ebookcentral.proquest.com/lib/viva-active/detail.action?docID=678662</t>
  </si>
  <si>
    <t>Playing Dirty : Sexuality and Waste in Early Modern Comedy</t>
  </si>
  <si>
    <t>Stockton, Will</t>
  </si>
  <si>
    <t>JavaServer pages. ; Web sites -- Design. ; Web site development.</t>
  </si>
  <si>
    <t>https://ebookcentral.proquest.com/lib/viva-active/detail.action?docID=678665</t>
  </si>
  <si>
    <t>English Women, Religion, and Textual Production, 1500-1625</t>
  </si>
  <si>
    <t>White, Micheline;Poska, Professor Allyson M;Zanger, Professor Abby</t>
  </si>
  <si>
    <t>English literature -- Early modern, 1500-1700 -- History and criticism. ; English literature -- Women authors -- History and criticism. ; Women and literature -- England -- History -- 16th century. ; Women and literature -- England -- History -- 17th century. ; Religion and literature -- England -- History -- 16th century. ; Religion and literature -- England -- History -- 17th century. ; Women and religion -- England -- History -- 16th century.</t>
  </si>
  <si>
    <t>https://ebookcentral.proquest.com/lib/viva-active/detail.action?docID=679251</t>
  </si>
  <si>
    <t>Passage to Manhood : Youth Migration, Heroin, and AIDS in Southwest China</t>
  </si>
  <si>
    <t>Studies of the Weatherhead East Asian Institute, Columbia University Ser.</t>
  </si>
  <si>
    <t>Liu, Shao-hua;Liu, Shaohua</t>
  </si>
  <si>
    <t>Social Science; History; Health</t>
  </si>
  <si>
    <t>Yi (Chinese people) -- Drug use. ; Yi (Chinese people) -- Diseases. ; Heroin abuse -- Social aspects -- China -- Sichuan Sheng. ; AIDS (Disease) -- Transmission -- China -- Sichuan Sheng. ; Young men -- Drug use -- China -- Sichuan Sheng. ; Young men -- Diseases -- China -- Sichuan Sheng. ; Migration, Internal -- Health aspects -- China.</t>
  </si>
  <si>
    <t>https://ebookcentral.proquest.com/lib/viva-active/detail.action?docID=683274</t>
  </si>
  <si>
    <t>Anarchism and Sexuality : Ethics, Relationships and Power</t>
  </si>
  <si>
    <t>Social Justice Ser.</t>
  </si>
  <si>
    <t>Heckert, Jamie;Cleminson, Richard</t>
  </si>
  <si>
    <t>Anarchism - Philosophy</t>
  </si>
  <si>
    <t>https://ebookcentral.proquest.com/lib/viva-active/detail.action?docID=684035</t>
  </si>
  <si>
    <t>Masculinities in Higher Education : Theoretical and Practical Considerations</t>
  </si>
  <si>
    <t>Laker, Jason A.;Davis, Tracy</t>
  </si>
  <si>
    <t>Men - Education (HIgher) - United States</t>
  </si>
  <si>
    <t>https://ebookcentral.proquest.com/lib/viva-active/detail.action?docID=684066</t>
  </si>
  <si>
    <t>He Was Some Kind of a Man : Masculinities in the B Western</t>
  </si>
  <si>
    <t>Wilfrid Laurier University Press</t>
  </si>
  <si>
    <t>Film and Media Studies</t>
  </si>
  <si>
    <t>McGillis, Roderick</t>
  </si>
  <si>
    <t>Masculinity in motion pictures. ; Western films -- History and criticism.</t>
  </si>
  <si>
    <t>https://ebookcentral.proquest.com/lib/viva-active/detail.action?docID=685777</t>
  </si>
  <si>
    <t>Democratic Anxieties : Same-Sex Marriage, Death, and Citizenship</t>
  </si>
  <si>
    <t>Feit, Mario</t>
  </si>
  <si>
    <t>Same-sex marriage - Political aspects - United States</t>
  </si>
  <si>
    <t>https://ebookcentral.proquest.com/lib/viva-active/detail.action?docID=686289</t>
  </si>
  <si>
    <t>The Sexual Organization of the City</t>
  </si>
  <si>
    <t xml:space="preserve">Laumann, Edward O.;Ellingson, Stephen;Mahay, Jenna;Paik, Anthony ;Youm, Yoosik </t>
  </si>
  <si>
    <t>Sex customs -- Illinois -- Chicago.</t>
  </si>
  <si>
    <t>https://ebookcentral.proquest.com/lib/viva-active/detail.action?docID=689337</t>
  </si>
  <si>
    <t>Professional Men, Professional Women : The European Professions from the 19th Century until Today</t>
  </si>
  <si>
    <t>SAGE Studies in International Sociology</t>
  </si>
  <si>
    <t>Malatesta, Maria</t>
  </si>
  <si>
    <t>Europe - Intellectual life - 21st century</t>
  </si>
  <si>
    <t>https://ebookcentral.proquest.com/lib/viva-active/detail.action?docID=689470</t>
  </si>
  <si>
    <t>Once Iron Girls : Essays on Gender by Post-Mao Chinese Literary Women</t>
  </si>
  <si>
    <t>Wu, Hui</t>
  </si>
  <si>
    <t>Chinese literature - 20th century - Women authors</t>
  </si>
  <si>
    <t>https://ebookcentral.proquest.com/lib/viva-active/detail.action?docID=689572</t>
  </si>
  <si>
    <t>Envy and Gratitude Revisited</t>
  </si>
  <si>
    <t>The International Psychoanalytical Association Psychoanalytic Ideas and Applications Ser.</t>
  </si>
  <si>
    <t>Lemma, Alessandra;Roth, Priscilla</t>
  </si>
  <si>
    <t>Klein, Melanie. -- Envy and gratitude -- Criticism, Textual. ; Envy. ; Gratitude.</t>
  </si>
  <si>
    <t>https://ebookcentral.proquest.com/lib/viva-active/detail.action?docID=689886</t>
  </si>
  <si>
    <t>Transvestism, Transsexualism in the Psychoanalytic Dimension</t>
  </si>
  <si>
    <t>The International Psychoanalytical Association Controversies in Psychoanalysis Ser.</t>
  </si>
  <si>
    <t>Ambrosio, Giovanna</t>
  </si>
  <si>
    <t>Sex (Psychology) ; Gender identity -- Psychological aspects. ; Transgenderism -- Psychological aspects. ; Transsexualism. ; Psychoanalysis.</t>
  </si>
  <si>
    <t>https://ebookcentral.proquest.com/lib/viva-active/detail.action?docID=689959</t>
  </si>
  <si>
    <t>Sweet Dreams : Erotic Plots</t>
  </si>
  <si>
    <t>Stoller, Robert J.</t>
  </si>
  <si>
    <t>Pornography -- Psychological aspects. ; Sex (Psychology) ; Sexual fantasies.</t>
  </si>
  <si>
    <t>https://ebookcentral.proquest.com/lib/viva-active/detail.action?docID=690017</t>
  </si>
  <si>
    <t>Autism and Childhood Psychosis</t>
  </si>
  <si>
    <t xml:space="preserve">Tustin, Frances;Hamilton, Victoria </t>
  </si>
  <si>
    <t>Autism. ; Psychoses in children.</t>
  </si>
  <si>
    <t>https://ebookcentral.proquest.com/lib/viva-active/detail.action?docID=690112</t>
  </si>
  <si>
    <t>The Bi-Sexuality of Daniel Defoe : A Psychoanalytic Survey of the Man and His Works</t>
  </si>
  <si>
    <t>Abse, Leo</t>
  </si>
  <si>
    <t>Defoe, Daniel, -- 1661?-1731 -- Psychology. ; Bisexuality -- History. ; Bisexuality in literature. ; Authors -- History. ; Literature -- History. ; Psychoanalysis -- History.</t>
  </si>
  <si>
    <t>https://ebookcentral.proquest.com/lib/viva-active/detail.action?docID=690228</t>
  </si>
  <si>
    <t>My Desire for History : Essays in Gay, Community, and Labor History</t>
  </si>
  <si>
    <t>Bérubé, Allan;Bérubé, Allan;Freedman, Edgar E Robinson Professor in United States History Estelle B</t>
  </si>
  <si>
    <t>Bérubé, Allan. ; Gays -- United States -- History. ; Lesbians -- United States -- History. ; Homosexuality -- United States -- History.</t>
  </si>
  <si>
    <t>https://ebookcentral.proquest.com/lib/viva-active/detail.action?docID=690709</t>
  </si>
  <si>
    <t>Heroes and Legends of Fin-de-Siècle France : Gender, Politics, and National Identity</t>
  </si>
  <si>
    <t>Datta, Venita</t>
  </si>
  <si>
    <t>Heroes -- France -- History. ; Women heroes -- France -- History. ; Nationalism -- France -- History. ; Sex role -- France -- History.</t>
  </si>
  <si>
    <t>https://ebookcentral.proquest.com/lib/viva-active/detail.action?docID=691872</t>
  </si>
  <si>
    <t>Gender, Nationalism, and War : Conflict on the Movie Screen</t>
  </si>
  <si>
    <t>Evangelista, Matthew</t>
  </si>
  <si>
    <t>Women in motion pictures. ; War films -- History and criticism. ; Sex role in motion pictures. ; Nationalism in motion pictures. ; Political violence in motion pictures. ; Men in motion pictures. ; Women -- Political activity.</t>
  </si>
  <si>
    <t>https://ebookcentral.proquest.com/lib/viva-active/detail.action?docID=691937</t>
  </si>
  <si>
    <t>Crisis of Gender and the Nation in Korean Literature and Cinema : Modernity Arrives Again</t>
  </si>
  <si>
    <t>Jeong, Kelly Y.</t>
  </si>
  <si>
    <t>Korea (South) - In motion pictures</t>
  </si>
  <si>
    <t>https://ebookcentral.proquest.com/lib/viva-active/detail.action?docID=692303</t>
  </si>
  <si>
    <t>Black Fathers : An Invisible Presence in America, Second Edition</t>
  </si>
  <si>
    <t>Connor, Michael E.;White, Joseph</t>
  </si>
  <si>
    <t>African American fathers.</t>
  </si>
  <si>
    <t>https://ebookcentral.proquest.com/lib/viva-active/detail.action?docID=692337</t>
  </si>
  <si>
    <t>Dying to Be Men : Psychosocial, Environmental, and Biobehavioral Directions in Promoting the Health of Men and Boys</t>
  </si>
  <si>
    <t>Courtenay, Will;Courtenay, Will H</t>
  </si>
  <si>
    <t>Men -- Health and hygiene. ; Health behavior.</t>
  </si>
  <si>
    <t>https://ebookcentral.proquest.com/lib/viva-active/detail.action?docID=692354</t>
  </si>
  <si>
    <t>Contemporary English-Language Indian Children's Literature : Representations of Nation, Culture, and the New Indian Girl</t>
  </si>
  <si>
    <t>Superle, Michelle</t>
  </si>
  <si>
    <t>Children's literature, Indic (English) -- History and criticism. ; Indic fiction (English) -- Women authors -- History and criticism. ; Children -- Books and reading -- India. ; Gender identity -- India. ; India -- In literature.</t>
  </si>
  <si>
    <t>https://ebookcentral.proquest.com/lib/viva-active/detail.action?docID=692372</t>
  </si>
  <si>
    <t>Economics and Diversity</t>
  </si>
  <si>
    <t>Routledge Frontiers of Political Economy</t>
  </si>
  <si>
    <t>D'Ippoliti, Carlo</t>
  </si>
  <si>
    <t>Economics - Methodology</t>
  </si>
  <si>
    <t>https://ebookcentral.proquest.com/lib/viva-active/detail.action?docID=692379</t>
  </si>
  <si>
    <t>Makeshift Migrants and Law : Gender, Belonging, and Postcolonial Anxieties</t>
  </si>
  <si>
    <t>Kapur, Ratna</t>
  </si>
  <si>
    <t>Women immigrants -- Legal status, laws, etc. -- India. ; Sex role -- India. ; Internal migrants -- India. ; Sex and law -- India. ; Marginality, Social -- India. ; Feminism -- India. ; Sociological jurisprudence -- India.</t>
  </si>
  <si>
    <t>https://ebookcentral.proquest.com/lib/viva-active/detail.action?docID=692418</t>
  </si>
  <si>
    <t>Sexual Ambiguities</t>
  </si>
  <si>
    <t>The Centre for Freudian Analysis and Research Library (CFAR) Ser.</t>
  </si>
  <si>
    <t>Morel, Genevieve</t>
  </si>
  <si>
    <t>Sex (Psychology) ; Psychoses.</t>
  </si>
  <si>
    <t>https://ebookcentral.proquest.com/lib/viva-active/detail.action?docID=692504</t>
  </si>
  <si>
    <t>Nobility, Faith and Masculinity : The Hospitaller Knights of Malta, C. 1580-C. 1700</t>
  </si>
  <si>
    <t>Buttigieg, Emanuel</t>
  </si>
  <si>
    <t>Religion; History</t>
  </si>
  <si>
    <t>Knights of Malta.</t>
  </si>
  <si>
    <t>https://ebookcentral.proquest.com/lib/viva-active/detail.action?docID=692806</t>
  </si>
  <si>
    <t>Narrating the Closet : An Autoethnography of Same-Sex Attraction</t>
  </si>
  <si>
    <t>Adams, Tony E.</t>
  </si>
  <si>
    <t>Male homosexuality. ; Gay couples. ; Ethnology -- Authorship.</t>
  </si>
  <si>
    <t>https://ebookcentral.proquest.com/lib/viva-active/detail.action?docID=693132</t>
  </si>
  <si>
    <t>Teaching Boys Who Struggle in School : Strategies That Turn Underachievers into Successful Learners</t>
  </si>
  <si>
    <t>Association for Supervision &amp; Curriculum Development</t>
  </si>
  <si>
    <t>Cleveland, Kathleen Palmer</t>
  </si>
  <si>
    <t>Boys -- Education. ; Underachievers -- Education. ; Academic achievement.</t>
  </si>
  <si>
    <t>https://ebookcentral.proquest.com/lib/viva-active/detail.action?docID=698907</t>
  </si>
  <si>
    <t>Handbook of Gender, Work and Organization</t>
  </si>
  <si>
    <t>Jeanes, Emma;Knights, David;Yancey Martin, Patricia</t>
  </si>
  <si>
    <t>Sex role in the work environment. ; Sex discrimination in employment. ; Sexual division of labor.</t>
  </si>
  <si>
    <t>https://ebookcentral.proquest.com/lib/viva-active/detail.action?docID=700660</t>
  </si>
  <si>
    <t>Communicative Sexualities : A Communicology of Sexual Experience</t>
  </si>
  <si>
    <t>Martinez, Jacqueline M.</t>
  </si>
  <si>
    <t>Sexology - Research</t>
  </si>
  <si>
    <t>https://ebookcentral.proquest.com/lib/viva-active/detail.action?docID=709474</t>
  </si>
  <si>
    <t>Ethnographies of the Videogame : Gender, Narrative and Praxis</t>
  </si>
  <si>
    <t>Thornham, Helen</t>
  </si>
  <si>
    <t>Sport &amp;amp; Recreation; Social Science</t>
  </si>
  <si>
    <t>Video games. ; Video games -- Social aspects.</t>
  </si>
  <si>
    <t>https://ebookcentral.proquest.com/lib/viva-active/detail.action?docID=711350</t>
  </si>
  <si>
    <t>Indiscretions : At the Intersection of Queer and Postcolonial Theory</t>
  </si>
  <si>
    <t>Thamyris/Intersecting: Place, Sex and Race Ser.</t>
  </si>
  <si>
    <t>Ayedemir, Murat</t>
  </si>
  <si>
    <t>Queer theory. ; Postcolonialism. ; Homosexuality.</t>
  </si>
  <si>
    <t>https://ebookcentral.proquest.com/lib/viva-active/detail.action?docID=713102</t>
  </si>
  <si>
    <t>Adolescent Boy's Literate Identity</t>
  </si>
  <si>
    <t>Advances in Research on Teaching Ser.</t>
  </si>
  <si>
    <t xml:space="preserve">Rice, Mary;Pinnegar, Stefinee E. </t>
  </si>
  <si>
    <t>Psychology; Education</t>
  </si>
  <si>
    <t>Teenage boys -- Psychological aspects. ; Literature and morals. ; Identity (Psychology) in adolescence.</t>
  </si>
  <si>
    <t>https://ebookcentral.proquest.com/lib/viva-active/detail.action?docID=713454</t>
  </si>
  <si>
    <t>Performing American Masculinities : The 21st-Century Man in Popular Culture</t>
  </si>
  <si>
    <t>Watson, Elwood;Shaw, Marc E.</t>
  </si>
  <si>
    <t>Masculinity in popular culture -- United States. ; Masculinity -- United States.</t>
  </si>
  <si>
    <t>https://ebookcentral.proquest.com/lib/viva-active/detail.action?docID=713659</t>
  </si>
  <si>
    <t>The Temp Economy : From Kelly Girls to Permatemps in Postwar America</t>
  </si>
  <si>
    <t>Temple University Press</t>
  </si>
  <si>
    <t>Hatton, Erin</t>
  </si>
  <si>
    <t>Temporary employment - United States</t>
  </si>
  <si>
    <t>https://ebookcentral.proquest.com/lib/viva-active/detail.action?docID=713743</t>
  </si>
  <si>
    <t>Odd Couples : A History of Gay Marriage in Scandinavia</t>
  </si>
  <si>
    <t>Rydström, Jens;Rydström, Jens</t>
  </si>
  <si>
    <t>Same-sex marriage -- Scandinavia.</t>
  </si>
  <si>
    <t>https://ebookcentral.proquest.com/lib/viva-active/detail.action?docID=714090</t>
  </si>
  <si>
    <t>Gender Differences and the Making of Liturgical History : Lifting a Veil on Liturgy's Past</t>
  </si>
  <si>
    <t>Liturgy, Worship and Society Ser.</t>
  </si>
  <si>
    <t xml:space="preserve">Berger, Teresa;Berger, Professor Teresa ;Bradshaw, Dr. Paul F. ;Leal, Dr. Dave ;Spinks, Professor Bryan D. ;Tovey, Revd Dr. Phillip </t>
  </si>
  <si>
    <t>Liturgics. ; Sex differences. ; Women in Christianity.</t>
  </si>
  <si>
    <t>https://ebookcentral.proquest.com/lib/viva-active/detail.action?docID=714097</t>
  </si>
  <si>
    <t>Global HIV Epidemics among Men Who Have Sex with Men (MSM) : Epidemiology, Prevention, Access to Care, and Human Rights</t>
  </si>
  <si>
    <t>World Bank Group;Beyrer, Chris;Wirtz, Andrea L</t>
  </si>
  <si>
    <t>Social Science; Health; Medicine</t>
  </si>
  <si>
    <t>HIV infections. ; Male homosexuality. ; World health.</t>
  </si>
  <si>
    <t>https://ebookcentral.proquest.com/lib/viva-active/detail.action?docID=714462</t>
  </si>
  <si>
    <t>Sex and the Contract : From Infamous Commerce to the Market for Sexual Goods and Services</t>
  </si>
  <si>
    <t>Nijhoff International Trade Law Ser.</t>
  </si>
  <si>
    <t>Zeno-Zencovich, Vincenzo</t>
  </si>
  <si>
    <t>Sex-oriented businesses -- Law and legislation. ; Prostitution.</t>
  </si>
  <si>
    <t>https://ebookcentral.proquest.com/lib/viva-active/detail.action?docID=717644</t>
  </si>
  <si>
    <t>The Masculine Woman in Weimar Germany</t>
  </si>
  <si>
    <t>Berghahn Books, Incorporated</t>
  </si>
  <si>
    <t>Monographs in German History Ser.</t>
  </si>
  <si>
    <t>Sutton, Katie</t>
  </si>
  <si>
    <t>Sex role -- Germany -- History -- 20th century. ; Women -- Germany -- History -- 20th century. ; Lesbians -- Germany -- History -- 20th century. ; Gender identity -- Germany -- History -- 20th century. ; Germany -- History -- 1918-1933.</t>
  </si>
  <si>
    <t>https://ebookcentral.proquest.com/lib/viva-active/detail.action?docID=717916</t>
  </si>
  <si>
    <t>Making Chastity Sexy : The Rhetoric of Evangelical Abstinence Campaigns</t>
  </si>
  <si>
    <t>Gardner, Christine J.</t>
  </si>
  <si>
    <t>Sexual abstinence -- Religious aspects -- Christianity. ; Sexual abstinence -- Study and teaching -- United States. ; Teenagers -- Sexual behavior -- United States. ; Sex instruction for teenagers -- Religious aspects -- Christianity.</t>
  </si>
  <si>
    <t>https://ebookcentral.proquest.com/lib/viva-active/detail.action?docID=718662</t>
  </si>
  <si>
    <t>Ben Sira on Family, Gender, and Sexuality</t>
  </si>
  <si>
    <t>Deuterocanonical and Cognate Literature Studies</t>
  </si>
  <si>
    <t>Balla, Ibolya</t>
  </si>
  <si>
    <t>Bible. -- O.T. -- Apocrypha. -- Ecclesiasticus -- Commentaries. ; Families -- Biblical teaching. ; Sex role -- Biblical teaching. ; Sex -- Biblical teaching.</t>
  </si>
  <si>
    <t>https://ebookcentral.proquest.com/lib/viva-active/detail.action?docID=727091</t>
  </si>
  <si>
    <t>Sexed Pistols : Gendered Impacts of Small Arms and Light Weapons</t>
  </si>
  <si>
    <t>United Nations University Press</t>
  </si>
  <si>
    <t>Schnabel, Albrecht;Farr, Vanessa;Myrttinen, Henri</t>
  </si>
  <si>
    <t>Success in business. ; Success. ; Wealth.</t>
  </si>
  <si>
    <t>https://ebookcentral.proquest.com/lib/viva-active/detail.action?docID=728594</t>
  </si>
  <si>
    <t>Right to Play Oneself : Looking Back on Documentary Film</t>
  </si>
  <si>
    <t>Visible Evidence</t>
  </si>
  <si>
    <t>Waugh, Thomas</t>
  </si>
  <si>
    <t>Fine Arts; Journalism</t>
  </si>
  <si>
    <t>Terminal care. ; Palliative treatment. ; Primary care (Medicine)</t>
  </si>
  <si>
    <t>https://ebookcentral.proquest.com/lib/viva-active/detail.action?docID=730140</t>
  </si>
  <si>
    <t>Horace Walpole's Letters : Masculinity and Friendship in the Eighteenth Century</t>
  </si>
  <si>
    <t>Bucknell University Press</t>
  </si>
  <si>
    <t>Transits: Literature, Thought &amp; Culture, 1650–1850</t>
  </si>
  <si>
    <t>Haggerty, George E.</t>
  </si>
  <si>
    <t>Masculinity - England - History - 18th century</t>
  </si>
  <si>
    <t>https://ebookcentral.proquest.com/lib/viva-active/detail.action?docID=730749</t>
  </si>
  <si>
    <t>Young People's Lives and Sexual Relationships in Rural Africa : Findings from a Large Qualitative Study in Tanzania</t>
  </si>
  <si>
    <t>Plummer, Mary Louisa;Wight, Daniel</t>
  </si>
  <si>
    <t>Intergenerational relations - Tanzania</t>
  </si>
  <si>
    <t>https://ebookcentral.proquest.com/lib/viva-active/detail.action?docID=737226</t>
  </si>
  <si>
    <t>Competing Fundamentalisms and Egyptian Women's Family Rights : International Law and the Reform of Shari'a-Derived Legislation</t>
  </si>
  <si>
    <t>Brill's Arab and Islamic Laws Ser.</t>
  </si>
  <si>
    <t>Moussa, Jasmine</t>
  </si>
  <si>
    <t>Women - Legal status, laws, etc - Egypt</t>
  </si>
  <si>
    <t>https://ebookcentral.proquest.com/lib/viva-active/detail.action?docID=737748</t>
  </si>
  <si>
    <t>Crossing through Chueca : Lesbian Literary Culture in Queer Madrid</t>
  </si>
  <si>
    <t>Robbins, Jill</t>
  </si>
  <si>
    <t>Two-stroke cycle engines -- Maintenance and repair. ; Engines -- Maintenance and repair.</t>
  </si>
  <si>
    <t>https://ebookcentral.proquest.com/lib/viva-active/detail.action?docID=740138</t>
  </si>
  <si>
    <t>Invisible Families : Gay Identities, Relationships, and Motherhood among Black Women</t>
  </si>
  <si>
    <t>Moore, Mignon</t>
  </si>
  <si>
    <t>Puerto Rican lesbians</t>
  </si>
  <si>
    <t>https://ebookcentral.proquest.com/lib/viva-active/detail.action?docID=740306</t>
  </si>
  <si>
    <t>Re-Dressing America's Frontier Past</t>
  </si>
  <si>
    <t>Boag, Peter;Boag, Peter</t>
  </si>
  <si>
    <t>Transvestites -- West (U.S.) -- History -- 19th century. ; Gender identity -- West (U.S.) -- History -- 19th century. ; Homosexuality -- West (U.S.) -- History -- 19th century.</t>
  </si>
  <si>
    <t>https://ebookcentral.proquest.com/lib/viva-active/detail.action?docID=743995</t>
  </si>
  <si>
    <t>Recreating Japanese Men</t>
  </si>
  <si>
    <t>Asia: Local Studies / Global Themes Ser.</t>
  </si>
  <si>
    <t>Walthall, Anne;ühstück, Sabine;Fruhstuck, Sabine</t>
  </si>
  <si>
    <t>Men -- Japan. ; Masculinity -- Japan. ; Men -- Japan -- Identity. ; Sex role -- Japan.</t>
  </si>
  <si>
    <t>https://ebookcentral.proquest.com/lib/viva-active/detail.action?docID=744000</t>
  </si>
  <si>
    <t>The New Extremism in Cinema : From France to Europe</t>
  </si>
  <si>
    <t>Horeck, Tanya C;Kendall, Tina</t>
  </si>
  <si>
    <t>Motion pictures -- Europe -- History. ; Sex in motion pictures. ; Violence in motion pictures.</t>
  </si>
  <si>
    <t>https://ebookcentral.proquest.com/lib/viva-active/detail.action?docID=744021</t>
  </si>
  <si>
    <t>Technology and the Gendering of Music Education</t>
  </si>
  <si>
    <t>Armstrong, Victoria</t>
  </si>
  <si>
    <t>Computer music -- Instruction and study -- Great Britain. ; Music -- Instruction and study -- Technological innovations. ; Sex differences in education -- Great Britain. ; Music and technology.</t>
  </si>
  <si>
    <t>https://ebookcentral.proquest.com/lib/viva-active/detail.action?docID=744126</t>
  </si>
  <si>
    <t>Queerying Planning : Challenging Heteronormative Assumptions and Reframing Planning Practice</t>
  </si>
  <si>
    <t>Doan, Petra L.</t>
  </si>
  <si>
    <t>Public spaces -- Planning. ; Sexual minorities. ; Urban renewal.</t>
  </si>
  <si>
    <t>https://ebookcentral.proquest.com/lib/viva-active/detail.action?docID=744135</t>
  </si>
  <si>
    <t>Mockingbird Passing : Closeted Traditions and Sexual Curiosities in Harper Lee's Novel</t>
  </si>
  <si>
    <t>Blackford, Holly</t>
  </si>
  <si>
    <t>Lee, Harper. -- To kill a mockingbird. ; Passing (Identity) in literature.</t>
  </si>
  <si>
    <t>https://ebookcentral.proquest.com/lib/viva-active/detail.action?docID=744863</t>
  </si>
  <si>
    <t>Fatness and the Maternal Body : Women's Experiences of Corporeality and the Shaping of Social Policy</t>
  </si>
  <si>
    <t>Fertility, Reproduction and Sexuality: Social and Cultural Perspectives Ser.</t>
  </si>
  <si>
    <t>Unnithan-Kumar, Maya;Tremayne, Soraya</t>
  </si>
  <si>
    <t>Women - Physiology</t>
  </si>
  <si>
    <t>https://ebookcentral.proquest.com/lib/viva-active/detail.action?docID=745327</t>
  </si>
  <si>
    <t>The Making of the New Negro : Black Authorship, Masculinity, and Sexuality in the Harlem Renaissance</t>
  </si>
  <si>
    <t>American Studies</t>
  </si>
  <si>
    <t>Pochmara, Anna;Stenius, Vanja;Thomassen, Jacques;Tsipouri, Lena</t>
  </si>
  <si>
    <t>Geography/Travel; Literature</t>
  </si>
  <si>
    <t>African American men in literature. ; American literature -- African American authors. ; Masculinity -- United States -- History -- 20th century. ; Harlem (New York, N.Y.) -- Intellectual life -- 20th century.</t>
  </si>
  <si>
    <t>https://ebookcentral.proquest.com/lib/viva-active/detail.action?docID=752457</t>
  </si>
  <si>
    <t>Masculinities, Violence, Childhood : Attending to Early Modern Women--and Men</t>
  </si>
  <si>
    <t>University of Delaware Press</t>
  </si>
  <si>
    <t xml:space="preserve">Leonard, Amy E.;Nelson, Karen L.;University of Maryland;Brooks, Jeanice ;Carroll, Margaret D. ;Cohen, Sarah R. ;Ferguson, Margaret ;Finucci, Valeria ;Martin, Randall ;Murphy, Caroline P. </t>
  </si>
  <si>
    <t>Men - Identity - History</t>
  </si>
  <si>
    <t>https://ebookcentral.proquest.com/lib/viva-active/detail.action?docID=753224</t>
  </si>
  <si>
    <t>Masculinity, Senses, Spirit</t>
  </si>
  <si>
    <t>Aperçus: Histories Texts Cultures</t>
  </si>
  <si>
    <t>Faull, Katherine M.;Atwood, Craig D.;Bruns, Claudia;Dubois, Philippe C.;Jarrell, Robin;Lempa, Heikki;Peucker, Paul;Tobin, Robert D.;Trumbach, Randolph</t>
  </si>
  <si>
    <t>Masculinity - Social spects</t>
  </si>
  <si>
    <t>https://ebookcentral.proquest.com/lib/viva-active/detail.action?docID=753235</t>
  </si>
  <si>
    <t>The Castrato and His Wife</t>
  </si>
  <si>
    <t>Berry, Helen</t>
  </si>
  <si>
    <t>Tenducci, Giusto Ferdinando, -- ca. 1735-1790. ; Tenducci, Giusto Ferdinando, -- ca. 1735-1790 -- Marriage. ; Kingsman, Dorothea -- Marriage. ; Opera -- Great Britain -- 18th century. ; Castrati -- Great Britain -- History -- 18th century. ; Marriage -- Great Britain -- History -- 18th century.</t>
  </si>
  <si>
    <t>https://ebookcentral.proquest.com/lib/viva-active/detail.action?docID=760033</t>
  </si>
  <si>
    <t>Music, Masculinity and the Claims of History : The Austro-German Tradition from Hegel to Freud</t>
  </si>
  <si>
    <t>Biddle, Ian</t>
  </si>
  <si>
    <t>Music -- Europe, German-speaking -- 19th century -- History and criticism. ; Music -- Europe, German-speaking -- 20th century -- History and criticism. ; Masculinity in music.</t>
  </si>
  <si>
    <t>https://ebookcentral.proquest.com/lib/viva-active/detail.action?docID=762278</t>
  </si>
  <si>
    <t>Perversion : Psychoanalytic Perspectives/Perspectives on Psychoanalysis</t>
  </si>
  <si>
    <t>ENCY</t>
  </si>
  <si>
    <t>Downing, Prof. Lisa;Nobus, Dany</t>
  </si>
  <si>
    <t>Paraphilias. ; Psychoanalysis.</t>
  </si>
  <si>
    <t>https://ebookcentral.proquest.com/lib/viva-active/detail.action?docID=765018</t>
  </si>
  <si>
    <t>Men and Development : Politicizing Masculinities</t>
  </si>
  <si>
    <t>Cornwall, Andrea;Chopra, Radhika;Nascimento, Marcos;Ricardo, Christine;Olinger, Marianna;Segundo, Marcio;Gang, Fang;Xiaopei, He;Jolly, Susie;Welsh, Patrick</t>
  </si>
  <si>
    <t>Men -- Social aspects. ; Masculinity -- Social aspects.</t>
  </si>
  <si>
    <t>https://ebookcentral.proquest.com/lib/viva-active/detail.action?docID=765174</t>
  </si>
  <si>
    <t>The New Maids : Transnational Women and the Care Economy</t>
  </si>
  <si>
    <t>Lutz, Professor Helma</t>
  </si>
  <si>
    <t>Women immigrants. ; Household employees.</t>
  </si>
  <si>
    <t>https://ebookcentral.proquest.com/lib/viva-active/detail.action?docID=765180</t>
  </si>
  <si>
    <t>Kiss My Relics : Hermaphroditic Fictions of the Middle Ages</t>
  </si>
  <si>
    <t>Rollo, David</t>
  </si>
  <si>
    <t>Martianus Capella. -- De nuptiis Philologiae et Mercurii. ; William, -- of Malmesbury, -- ca. 1090-1143. -- De gestis regum Anglorum. ; Guillaume, -- de Lorris, -- fl. 1230. -- Roman de la rose. ; Jean, -- de Meun, -- d. 1305? -- Criticism and interpretation. ; Alanus, -- de Insulis, -- d. 1202. -- De planctu naturae. ; Paraphilias in literature. ; Intersexuality in literature.</t>
  </si>
  <si>
    <t>https://ebookcentral.proquest.com/lib/viva-active/detail.action?docID=765343</t>
  </si>
  <si>
    <t>European Others : Queering Ethnicity in Postnational Europe</t>
  </si>
  <si>
    <t>Difference Incorporated</t>
  </si>
  <si>
    <t>El-Tayeb, Fatima</t>
  </si>
  <si>
    <t>Active server pages. ; Microsoft .NET. ; Web site development.</t>
  </si>
  <si>
    <t>https://ebookcentral.proquest.com/lib/viva-active/detail.action?docID=765495</t>
  </si>
  <si>
    <t>Deleuze and Sex</t>
  </si>
  <si>
    <t xml:space="preserve">Beckman, Frida;Beckman, Frida </t>
  </si>
  <si>
    <t>Deleuze, Gilles, -- 1925-1995. ; Sex -- Philosophy.</t>
  </si>
  <si>
    <t>https://ebookcentral.proquest.com/lib/viva-active/detail.action?docID=767120</t>
  </si>
  <si>
    <t>Music Video and the Politics of Representation</t>
  </si>
  <si>
    <t>Music and the Moving Image</t>
  </si>
  <si>
    <t>Railton, Diane;Watson, Paul</t>
  </si>
  <si>
    <t>Feminism and music. ; Music videos -- History and criticism. ; Music videos -- Social aspects.</t>
  </si>
  <si>
    <t>https://ebookcentral.proquest.com/lib/viva-active/detail.action?docID=767129</t>
  </si>
  <si>
    <t>Homofiles : Theory, Sexuality, and Graduate Studies</t>
  </si>
  <si>
    <t>Battis, Jes;Clem, Billy;Colon, Brianne;Fink, Marty;Krywanzcyk, Loren;Lane, Bradley Houston;McAvan, Em;Mitchell, Jennifer K.;Moldes, Marcos;Snorton, C. Riley</t>
  </si>
  <si>
    <t>Transgender college students</t>
  </si>
  <si>
    <t>https://ebookcentral.proquest.com/lib/viva-active/detail.action?docID=767275</t>
  </si>
  <si>
    <t>Making Girls and Boys : Inside the Science of Sex</t>
  </si>
  <si>
    <t>University of New South Wales Press</t>
  </si>
  <si>
    <t>McCredie, Jane</t>
  </si>
  <si>
    <t>Chemical engineering -- Handbooks, manuals, etc. ; Extraction apparatus.</t>
  </si>
  <si>
    <t>https://ebookcentral.proquest.com/lib/viva-active/detail.action?docID=769830</t>
  </si>
  <si>
    <t>New Mythological Figures in Spanish Cinema : Dissident Bodies under Franco</t>
  </si>
  <si>
    <t>Film Culture in Transition Ser.</t>
  </si>
  <si>
    <t>Feenstra, Pietsie</t>
  </si>
  <si>
    <t>Motion pictures -- Spain -- History. ; Human body in motion pictures.</t>
  </si>
  <si>
    <t>https://ebookcentral.proquest.com/lib/viva-active/detail.action?docID=770938</t>
  </si>
  <si>
    <t>Libertinage in Russian Culture and Literature : A Bio-History of Sexualities at the Threshold of Modernity</t>
  </si>
  <si>
    <t>Russian History and Culture Ser.</t>
  </si>
  <si>
    <t>Lalo, Alexei</t>
  </si>
  <si>
    <t>Russian literature -- 19th century -- History and criticism. ; Russian literature -- 20th century -- History and criticism. ; Libertines in literature. ; Modernism (Literature)</t>
  </si>
  <si>
    <t>https://ebookcentral.proquest.com/lib/viva-active/detail.action?docID=771952</t>
  </si>
  <si>
    <t>Asia's New Mothers : Crafting Gender Roles and Childcare Networks In East and Southeast Asian Societies</t>
  </si>
  <si>
    <t>Ochiai, Emiko;Molony, Barbara</t>
  </si>
  <si>
    <t>Mothers -- East Asia. ; Mothers -- Southeast Asia. ; Sex role -- East Asia. ; Sex role -- Southeast Asia. ; Child care -- East Asia. ; Child care -- Southeast Asia.</t>
  </si>
  <si>
    <t>https://ebookcentral.proquest.com/lib/viva-active/detail.action?docID=772027</t>
  </si>
  <si>
    <t>Policing Sexuality : Sex, Society, and the State</t>
  </si>
  <si>
    <t>Lee, Julian C. H.</t>
  </si>
  <si>
    <t>Law; Social Science</t>
  </si>
  <si>
    <t>Sex and law. ; Sexual minorities.</t>
  </si>
  <si>
    <t>https://ebookcentral.proquest.com/lib/viva-active/detail.action?docID=773748</t>
  </si>
  <si>
    <t>Filipino Crosscurrents : Oceanographies of Seafaring, Masculinities, and Globalization</t>
  </si>
  <si>
    <t>Fajardo, Kale Bantigue</t>
  </si>
  <si>
    <t>Spanish language -- Conversation and phrase books (for construction industry employees) ; Spanish language -- Conversation and phrase books -- English.</t>
  </si>
  <si>
    <t>https://ebookcentral.proquest.com/lib/viva-active/detail.action?docID=776549</t>
  </si>
  <si>
    <t>Multicultural Girlhood : Racism, Sexuality, and the Conflicted Spaces of American Education</t>
  </si>
  <si>
    <t>Global Youth Ser.</t>
  </si>
  <si>
    <t>Thomas, Mary E.</t>
  </si>
  <si>
    <t>Social interaction in adolescence - United States</t>
  </si>
  <si>
    <t>https://ebookcentral.proquest.com/lib/viva-active/detail.action?docID=781371</t>
  </si>
  <si>
    <t>Labor Disorders in Neoliberal Italy : Mobbing, Well-Being, and the Workplace</t>
  </si>
  <si>
    <t>New Anthropologies of Europe Ser.</t>
  </si>
  <si>
    <t>Molé, Noelle J.;Molé, Noelle J.</t>
  </si>
  <si>
    <t>Bullying - Italy</t>
  </si>
  <si>
    <t>https://ebookcentral.proquest.com/lib/viva-active/detail.action?docID=784498</t>
  </si>
  <si>
    <t>Gentlemen and Amazons : The Myth of Matriarchal Prehistory, 1861-1900</t>
  </si>
  <si>
    <t>Eller, Cynthia</t>
  </si>
  <si>
    <t>Women, Prehistoric. ; Religion, Prehistoric. ; Matriarchy. ; Matrilineal kinship. ; Patriarchy. ; Feminist theory.</t>
  </si>
  <si>
    <t>https://ebookcentral.proquest.com/lib/viva-active/detail.action?docID=784535</t>
  </si>
  <si>
    <t>Dude, You're a Fag : Masculinity and Sexuality in High School, with a New Preface</t>
  </si>
  <si>
    <t>Pascoe, C. J.</t>
  </si>
  <si>
    <t>Teenage boys -- California -- Social conditions. ; High school students -- California -- Social conditions. ; Masculinity. ; Heterosexuality. ; Gender identity. ; Identity (Psychology) in adolescence. ; Socialization.</t>
  </si>
  <si>
    <t>https://ebookcentral.proquest.com/lib/viva-active/detail.action?docID=784539</t>
  </si>
  <si>
    <t>Living with Patriarchy : Discursive constructions of gendered subjects across cultures</t>
  </si>
  <si>
    <t>Majstorovic, Danijela;Lassen, Inger</t>
  </si>
  <si>
    <t>Pocket computers. ; Portable computers.</t>
  </si>
  <si>
    <t>https://ebookcentral.proquest.com/lib/viva-active/detail.action?docID=786926</t>
  </si>
  <si>
    <t>The Gender of Sexuality : Exploring Sexual Possibilities</t>
  </si>
  <si>
    <t>Gender Lens</t>
  </si>
  <si>
    <t>Rutter, Virginia;Schwartz, Dr. Pepper;Schwartz, Dr Pepper</t>
  </si>
  <si>
    <t>Sex differences (Psychology)</t>
  </si>
  <si>
    <t>https://ebookcentral.proquest.com/lib/viva-active/detail.action?docID=787876</t>
  </si>
  <si>
    <t>Eighteenth-Century Women Writers and the Gentleman's Liberation Movement : Independence, War, Masculinity, and the Novel, 1778-1818</t>
  </si>
  <si>
    <t>British Literature in Context in the Long Eighteenth Century</t>
  </si>
  <si>
    <t>Woodworth, Megan A.;Lynch, Professor Jack;Jenkins, Professor Eugenia Zuroski</t>
  </si>
  <si>
    <t>English literature -- Women authors -- History and criticism. ; English literature -- 18th century -- History and criticism. ; Masculinity in literature.</t>
  </si>
  <si>
    <t>https://ebookcentral.proquest.com/lib/viva-active/detail.action?docID=797532</t>
  </si>
  <si>
    <t>Sexual Morality : A Natural Law Approach to Intimate Relationships</t>
  </si>
  <si>
    <t>Piderit, John</t>
  </si>
  <si>
    <t>Catholic youth -- Religious life. ; Sexual ethics for youth. ; Sex -- Religious aspects -- Catholic Church. ; Natural law -- Religious aspects -- Catholic Church.</t>
  </si>
  <si>
    <t>https://ebookcentral.proquest.com/lib/viva-active/detail.action?docID=800837</t>
  </si>
  <si>
    <t>Gay Tourism : Culture and Context</t>
  </si>
  <si>
    <t>Waitt, Gordon;Markwell, Kevin;Waitt, Gordon</t>
  </si>
  <si>
    <t>Social Science; Geography/Travel</t>
  </si>
  <si>
    <t>Gays - Social life and customs</t>
  </si>
  <si>
    <t>https://ebookcentral.proquest.com/lib/viva-active/detail.action?docID=801706</t>
  </si>
  <si>
    <t>The Languages of Sexuality</t>
  </si>
  <si>
    <t>Weeks, Jeffrey</t>
  </si>
  <si>
    <t>Sex - Religious aspects</t>
  </si>
  <si>
    <t>https://ebookcentral.proquest.com/lib/viva-active/detail.action?docID=801830</t>
  </si>
  <si>
    <t>Intimate Partner Violence in LGBTQ Lives</t>
  </si>
  <si>
    <t>Ristock, Janice L.</t>
  </si>
  <si>
    <t>Intimate partner violence</t>
  </si>
  <si>
    <t>https://ebookcentral.proquest.com/lib/viva-active/detail.action?docID=801882</t>
  </si>
  <si>
    <t>Beyond Combat : Women and Gender in the Vietnam War Era</t>
  </si>
  <si>
    <t>Stur, Heather Marie</t>
  </si>
  <si>
    <t>Vietnam War, 1961-1975 -- Women. ; Vietnam War, 1961-1975 -- Participation, Female. ; Vietnam War, 1961-1975 -- Social aspects. ; Women -- United States -- History -- 20th century. ; Women -- Vietnam -- History -- 20th century. ; Sex role -- United States -- History -- 20th century. ; Sex role -- Vietnam -- History -- 20th century.</t>
  </si>
  <si>
    <t>https://ebookcentral.proquest.com/lib/viva-active/detail.action?docID=803199</t>
  </si>
  <si>
    <t>Queering Conflict : Examining Lesbian and Gay Experiences of Homophobia in Northern Ireland</t>
  </si>
  <si>
    <t>Duggan, Marian</t>
  </si>
  <si>
    <t>Homophobia -- Northern Ireland. ; Homosexuality -- Northern Ireland. ; Hate crimes -- Northern Ireland. ; Gays -- Northern Ireland -- Social conditions. ; Lesbians -- Northern Ireland -- Social conditions.</t>
  </si>
  <si>
    <t>https://ebookcentral.proquest.com/lib/viva-active/detail.action?docID=806855</t>
  </si>
  <si>
    <t>Gender and Sexuality in Modern Chinese History</t>
  </si>
  <si>
    <t>New Approaches to Asian History</t>
  </si>
  <si>
    <t>Mann, Susan L.</t>
  </si>
  <si>
    <t>Sex role -- China. ; Women -- China. ; Sex -- China.</t>
  </si>
  <si>
    <t>https://ebookcentral.proquest.com/lib/viva-active/detail.action?docID=807171</t>
  </si>
  <si>
    <t>The End of Straight Supremacy : Realizing Gay Liberation</t>
  </si>
  <si>
    <t>Gilreath, Shannon</t>
  </si>
  <si>
    <t>Gays -- United States -- Social conditions. ; Gay rights -- United States -- History. ; Gay liberation movement -- United States -- History.</t>
  </si>
  <si>
    <t>https://ebookcentral.proquest.com/lib/viva-active/detail.action?docID=807320</t>
  </si>
  <si>
    <t>The Archaeology of Colonialism : Intimate Encounters and Sexual Effects</t>
  </si>
  <si>
    <t>Voss, Barbara L.;Conlin Casella, Eleanor</t>
  </si>
  <si>
    <t>Sex -- Europe -- Colonies -- History. ; Interpersonal relations -- Europe -- Colonies -- History. ; Europe -- Colonies -- Race relations -- History.</t>
  </si>
  <si>
    <t>https://ebookcentral.proquest.com/lib/viva-active/detail.action?docID=807335</t>
  </si>
  <si>
    <t>Cleansing Honor with Blood : Masculinity, Violence, and Power in the Backlands of Northeast Brazil, 1845-1889</t>
  </si>
  <si>
    <t>Santos, Martha</t>
  </si>
  <si>
    <t>Masculinity -- Brazil -- Ceará (State) -- History -- 19th century. ; Men -- Brazil -- Ceará (State) -- History -- 19th century. ; Machismo -- Brazil -- Ceará (State) -- History -- 19th century. ; Violence -- Brazil -- Ceará (State) -- History -- 19th century. ; Power (Social sciences) -- Brazil -- Ceará (State) -- History -- 19th century. ; Honor -- Brazil -- Ceará (State) -- History -- 19th century. ; Sex role -- Brazil -- Ceará (State) -- History -- 19th century.</t>
  </si>
  <si>
    <t>https://ebookcentral.proquest.com/lib/viva-active/detail.action?docID=808421</t>
  </si>
  <si>
    <t>Occupying Power : Sex Workers and Servicemen in Postwar Japan</t>
  </si>
  <si>
    <t>Kovner, Sarah</t>
  </si>
  <si>
    <t>Prostitution -- Japan -- History -- 20th century. ; Sex-oriented businesses -- Japan -- History -- 20th century. ; Prostitutes -- Legal status, laws, etc. -- Japan -- History -- 20th century. ; Japan -- History -- Allied occupation, 1945-1952.</t>
  </si>
  <si>
    <t>https://ebookcentral.proquest.com/lib/viva-active/detail.action?docID=815777</t>
  </si>
  <si>
    <t>Making Care Count : A Century of Gender, Race, and Paid Care Work</t>
  </si>
  <si>
    <t>Duffy, Mignon</t>
  </si>
  <si>
    <t>Social service - United States</t>
  </si>
  <si>
    <t>https://ebookcentral.proquest.com/lib/viva-active/detail.action?docID=816479</t>
  </si>
  <si>
    <t>Pink and Blue : Telling the Boys from the Girls in America</t>
  </si>
  <si>
    <t>Paoletti, Jo B.</t>
  </si>
  <si>
    <t>Home Economics; Fine Arts</t>
  </si>
  <si>
    <t>Boys' clothing -- United States -- History. ; Girls' clothing -- United States -- History. ; Clothing and dress -- Sex differences -- United States.</t>
  </si>
  <si>
    <t>https://ebookcentral.proquest.com/lib/viva-active/detail.action?docID=816833</t>
  </si>
  <si>
    <t>Jewish Masculinities : German Jews, Gender, and History</t>
  </si>
  <si>
    <t>Baader, Benjamin Maria;Gillerman, Sharon;Lerner, Paul;Gerson, Judith;Bloom, Etan;Schueler-Springorum, Stefanie;Gotzmann, Andreas;Judd, Robin;Goldberg, Ann;Zwicker, Lisa</t>
  </si>
  <si>
    <t>Masculinity - Germany</t>
  </si>
  <si>
    <t>https://ebookcentral.proquest.com/lib/viva-active/detail.action?docID=816844</t>
  </si>
  <si>
    <t>A Positive View of LGBTQ : Embracing Identity and Cultivating Well-Being</t>
  </si>
  <si>
    <t>Riggle, Ellen D.B.;Rostosky, Sharon S.</t>
  </si>
  <si>
    <t>Sexual minorities</t>
  </si>
  <si>
    <t>https://ebookcentral.proquest.com/lib/viva-active/detail.action?docID=817146</t>
  </si>
  <si>
    <t>Gender and the Science of Difference : Cultural Politics of Contemporary Science and Medicine</t>
  </si>
  <si>
    <t>Studies in Modern Science, Technology, and the Environment Ser.</t>
  </si>
  <si>
    <t>Fisher, Jill;Fisher, Jill A.</t>
  </si>
  <si>
    <t>Science: Anatomy/Physiology; Science</t>
  </si>
  <si>
    <t>Politics</t>
  </si>
  <si>
    <t>https://ebookcentral.proquest.com/lib/viva-active/detail.action?docID=817178</t>
  </si>
  <si>
    <t>Historicising Gender and Sexuality</t>
  </si>
  <si>
    <t>Gender and History Special Issues Ser.</t>
  </si>
  <si>
    <t xml:space="preserve">Spear, Jennifer M.;Murphy, Kevin P.;Spear, Professor Jennifer M </t>
  </si>
  <si>
    <t>Gender identity -- History. ; Sex -- History.</t>
  </si>
  <si>
    <t>https://ebookcentral.proquest.com/lib/viva-active/detail.action?docID=819309</t>
  </si>
  <si>
    <t>If Memory Serves : Gay Men, AIDS, and the Promise of the Queer Past</t>
  </si>
  <si>
    <t>Castiglia, Christopher;Reed, Christopher</t>
  </si>
  <si>
    <t>Industrial management. ; Leadership.</t>
  </si>
  <si>
    <t>https://ebookcentral.proquest.com/lib/viva-active/detail.action?docID=819527</t>
  </si>
  <si>
    <t>Los Invisibles : A History of Male Homosexuality in Spain, 1850-1940</t>
  </si>
  <si>
    <t>Male homosexuality -- Spain -- History.</t>
  </si>
  <si>
    <t>https://ebookcentral.proquest.com/lib/viva-active/detail.action?docID=819828</t>
  </si>
  <si>
    <t>Hormonal Therapy for Male Sexual Dysfunction</t>
  </si>
  <si>
    <t>SMIP - Sexual Medicine in Practice Ser.</t>
  </si>
  <si>
    <t>Maggi, Mario</t>
  </si>
  <si>
    <t>Sexual disorders -- Hormone therapy.</t>
  </si>
  <si>
    <t>https://ebookcentral.proquest.com/lib/viva-active/detail.action?docID=822602</t>
  </si>
  <si>
    <t>Critical Aspects of Gender in Conflict Resolution, Peacebuilding, and Social Movements</t>
  </si>
  <si>
    <t>Research in Social Movements, Conflicts and Change Ser.</t>
  </si>
  <si>
    <t>Snyder, Anna Christine;Stobbe, Stephanie Phetsamay;Coy, Patrick G.</t>
  </si>
  <si>
    <t>Gender in conflict management. ; Gender mainstreaming. ; Peace-building. ; Social movements.</t>
  </si>
  <si>
    <t>https://ebookcentral.proquest.com/lib/viva-active/detail.action?docID=823624</t>
  </si>
  <si>
    <t>Neo-Victorian Families : Gender, Sexual and Cultural Politics</t>
  </si>
  <si>
    <t>Neo-Victorian Ser.</t>
  </si>
  <si>
    <t>Kohlke, Marie-Luise;Gutleben, Christian</t>
  </si>
  <si>
    <t>Steampunk culture. ; Families. ; Sex role. ; Gender expression.</t>
  </si>
  <si>
    <t>https://ebookcentral.proquest.com/lib/viva-active/detail.action?docID=825159</t>
  </si>
  <si>
    <t>Lady Chatterley's Legacy in the Movies : Sex, Brains, and Body Guys</t>
  </si>
  <si>
    <t>Lehman, Peter;Hunt, Susan</t>
  </si>
  <si>
    <t>Stereotypes (Social psychology) in motion pictures</t>
  </si>
  <si>
    <t>https://ebookcentral.proquest.com/lib/viva-active/detail.action?docID=832040</t>
  </si>
  <si>
    <t>Sex and the University : Celebrity, Controversy, and a Student Journalism Revolution</t>
  </si>
  <si>
    <t>Reimold, Daniel</t>
  </si>
  <si>
    <t>Journalism, College - United States</t>
  </si>
  <si>
    <t>https://ebookcentral.proquest.com/lib/viva-active/detail.action?docID=832043</t>
  </si>
  <si>
    <t>Of War and Men : World War II in the Lives of Fathers and Their Families</t>
  </si>
  <si>
    <t>LaRossa, Ralph</t>
  </si>
  <si>
    <t>Fatherhood -- Social aspects -- United States. ; Fatherhood -- United States -- History -- 20th century. ; War and families -- United States -- History -- 20th century. ; Soldiers -- Family relationships -- United States -- History -- 20th century. ; World War, 1939-1945 -- Social aspects -- United States.</t>
  </si>
  <si>
    <t>https://ebookcentral.proquest.com/lib/viva-active/detail.action?docID=836901</t>
  </si>
  <si>
    <t>The Art of the Gut : Manhood, Power, and Ethics in Japanese Politics</t>
  </si>
  <si>
    <t>LeBlanc, Robin M.;LeBlanc, Robin M.</t>
  </si>
  <si>
    <t>Men - Political activity - Japan</t>
  </si>
  <si>
    <t>https://ebookcentral.proquest.com/lib/viva-active/detail.action?docID=837270</t>
  </si>
  <si>
    <t>The Second Sexism : Discrimination Against Men and Boys</t>
  </si>
  <si>
    <t>Benatar, David</t>
  </si>
  <si>
    <t>Sex discrimination against men. ; Men -- Psychology.</t>
  </si>
  <si>
    <t>https://ebookcentral.proquest.com/lib/viva-active/detail.action?docID=837580</t>
  </si>
  <si>
    <t>Mad or Bad? : Race, Class, Gender, and Mental Disorder in the Criminal Justice System</t>
  </si>
  <si>
    <t>LFB Scholarly Publishing LLC</t>
  </si>
  <si>
    <t>Thompson, Melissa</t>
  </si>
  <si>
    <t>Discrimination in criminal justice administration -- United States. ; Crime and race -- United States. ; Crime -- Sex differences -- United States. ; Criminals -- Mental health -- United States.</t>
  </si>
  <si>
    <t>https://ebookcentral.proquest.com/lib/viva-active/detail.action?docID=837750</t>
  </si>
  <si>
    <t>ELT, Gender and International Development : Myths of Progress in a Neocolonial World</t>
  </si>
  <si>
    <t>Channel View Publications</t>
  </si>
  <si>
    <t>Critical Language and Literacy Studies</t>
  </si>
  <si>
    <t>Appleby, Roslyn</t>
  </si>
  <si>
    <t>English language -- Study and teaching -- Foreign countries. ; English language -- Study and teaching -- Foreign speakers. ; Women teachers.</t>
  </si>
  <si>
    <t>https://ebookcentral.proquest.com/lib/viva-active/detail.action?docID=837784</t>
  </si>
  <si>
    <t>Women, Money, and the Law : Nineteenth-Century Fiction, Gender, and the Courts</t>
  </si>
  <si>
    <t>University of Iowa Press</t>
  </si>
  <si>
    <t>Warren, Joyce W.</t>
  </si>
  <si>
    <t>Courts in literature</t>
  </si>
  <si>
    <t>https://ebookcentral.proquest.com/lib/viva-active/detail.action?docID=843197</t>
  </si>
  <si>
    <t>Walt Whitman's Songs of Male Intimacy and Love : "Live Oak, with Moss" and "Calamus"</t>
  </si>
  <si>
    <t>Iowa Whitman Series</t>
  </si>
  <si>
    <t>Erkkila, Betsy;Whitman, Walt</t>
  </si>
  <si>
    <t>Homosexuality</t>
  </si>
  <si>
    <t>https://ebookcentral.proquest.com/lib/viva-active/detail.action?docID=843356</t>
  </si>
  <si>
    <t>Private Practices : Harry Stack Sullivan, the Science of Homosexuality, and American Liberalism</t>
  </si>
  <si>
    <t>Wake, Naoko</t>
  </si>
  <si>
    <t>Homosexuality, Male - history - United States</t>
  </si>
  <si>
    <t>https://ebookcentral.proquest.com/lib/viva-active/detail.action?docID=848721</t>
  </si>
  <si>
    <t>Young Men in Uncertain Times</t>
  </si>
  <si>
    <t>Amit, Vered;Dyck, Noel</t>
  </si>
  <si>
    <t>Young men -- Cross-cultural studies. ; Young men -- Attitudes. ; Young men -- Social conditions.</t>
  </si>
  <si>
    <t>https://ebookcentral.proquest.com/lib/viva-active/detail.action?docID=848735</t>
  </si>
  <si>
    <t>Sex and Religion : Teachings and Taboos in the History of World Faiths</t>
  </si>
  <si>
    <t>Reaktion Books, Limited</t>
  </si>
  <si>
    <t>Endsjø, Dag Ølstein;Endsjø, Dag Ølstein</t>
  </si>
  <si>
    <t>Sex -- Religious aspects.</t>
  </si>
  <si>
    <t>https://ebookcentral.proquest.com/lib/viva-active/detail.action?docID=851008</t>
  </si>
  <si>
    <t>Queer Retrosexualities : The Politics of Reparative Return</t>
  </si>
  <si>
    <t>Lehigh University Press</t>
  </si>
  <si>
    <t>Shahani, Nishant</t>
  </si>
  <si>
    <t>Queer theory - United States</t>
  </si>
  <si>
    <t>https://ebookcentral.proquest.com/lib/viva-active/detail.action?docID=860139</t>
  </si>
  <si>
    <t>Washed in Blood : Male Sacrifice, Trauma, and the Cinema</t>
  </si>
  <si>
    <t>King, Claire Sisco</t>
  </si>
  <si>
    <t>Sacrifice in motion pictures</t>
  </si>
  <si>
    <t>https://ebookcentral.proquest.com/lib/viva-active/detail.action?docID=862093</t>
  </si>
  <si>
    <t>Gender and Culture in Psychology : Theories and Practices</t>
  </si>
  <si>
    <t>Magnusson, Eva;Marecek, Jeanne</t>
  </si>
  <si>
    <t>Feminism -- Psychological aspects. ; Gender identity -- Psychological aspects. ; Culture -- Psychological aspects.</t>
  </si>
  <si>
    <t>https://ebookcentral.proquest.com/lib/viva-active/detail.action?docID=862408</t>
  </si>
  <si>
    <t>Embodying Difference : Scripting Social Images of the Female Body in Latina Theatre</t>
  </si>
  <si>
    <t>Fairleigh Dickinson University Press</t>
  </si>
  <si>
    <t>Saborío, Linda</t>
  </si>
  <si>
    <t>Latin Americans in literature</t>
  </si>
  <si>
    <t>https://ebookcentral.proquest.com/lib/viva-active/detail.action?docID=862659</t>
  </si>
  <si>
    <t>Spaces between Us : Queer Settler Colonialism and Indigenous Decolonization</t>
  </si>
  <si>
    <t>First Peoples: New Directions Indigenous</t>
  </si>
  <si>
    <t>Morgensen, Scott Lauria</t>
  </si>
  <si>
    <t>Indian gays -- History. ; Indian gays -- Colonization. ; Frontier and pioneer life -- United States -- History. ; Colonists -- Sexual behavior -- United States. ; Two-spirit people -- United States -- History. ; Radical Faeries (New Age movement) ; Decolonization -- United States -- History.</t>
  </si>
  <si>
    <t>https://ebookcentral.proquest.com/lib/viva-active/detail.action?docID=863815</t>
  </si>
  <si>
    <t>Korean Masculinities and Transcultural Consumption : Yonsama, Rain, Oldboy, K-Pop Idols</t>
  </si>
  <si>
    <t>TransAsia: Screen Cultures Series</t>
  </si>
  <si>
    <t>Jung, Sun</t>
  </si>
  <si>
    <t>Masculinity in popular culture -- Korea (South) ; Cross-cultural studies -- Korea (South)</t>
  </si>
  <si>
    <t>https://ebookcentral.proquest.com/lib/viva-active/detail.action?docID=863877</t>
  </si>
  <si>
    <t>Queer Bangkok : 21st Century Markets, Media, and Rights</t>
  </si>
  <si>
    <t>Jackson, Peter A.</t>
  </si>
  <si>
    <t>Sexual minorities -- Thailand -- Bangkok -- History -- 21st century -- Congresses. ; Sexual minorities -- Thailand -- Bangkok -- Social conditions -- 21st century -- Congresses. ; Sexual minorities -- Civil rights -- Thailand -- Bangkok -- Congresses. ; Mass media and gays -- Thailand -- Bangkok -- Congresses.</t>
  </si>
  <si>
    <t>https://ebookcentral.proquest.com/lib/viva-active/detail.action?docID=863883</t>
  </si>
  <si>
    <t>Conditional Spaces : Hong Kong Lesbian Desires and Everyday Life</t>
  </si>
  <si>
    <t>Tang, Denise Tse-Shang</t>
  </si>
  <si>
    <t>Lesbians -- China -- Hong Kong -- Social conditions. ; Lesbians -- Social networks -- China -- Hong Kong. ; Lesbians -- Homes and haunts -- China -- Hong Kong. ; Lesbianism -- China -- Hong Kong.</t>
  </si>
  <si>
    <t>https://ebookcentral.proquest.com/lib/viva-active/detail.action?docID=863894</t>
  </si>
  <si>
    <t>Queer Politics and Sexual Modernity in Taiwan</t>
  </si>
  <si>
    <t>Huang, Hans Tao-Ming</t>
  </si>
  <si>
    <t>Bai, Xianyong, -- 1937- -- "Nie zi." ; Gays -- Taiwan. ; Gays in literature. ; Queer theory -- Political aspects -- Taiwan. ; Male homosexuality -- Political aspects -- Taiwan. ; Feminism -- Political aspects -- Taiwan.</t>
  </si>
  <si>
    <t>https://ebookcentral.proquest.com/lib/viva-active/detail.action?docID=863897</t>
  </si>
  <si>
    <t>The New Arab Man : Emergent Masculinities, Technologies, and Islam in the Middle East</t>
  </si>
  <si>
    <t>Inhorn, Marcia C.</t>
  </si>
  <si>
    <t>Masculinity -- Middle East. ; Masculinity -- Religious aspects -- Islam. ; Men -- Middle East. ; Infertility -- Middle East -- Psychological aspects. ; Fertilization in vitro, Human. ; Man-woman relationships -- Middle East.</t>
  </si>
  <si>
    <t>https://ebookcentral.proquest.com/lib/viva-active/detail.action?docID=864790</t>
  </si>
  <si>
    <t>Papa, PhD : Essays on Fatherhood by Men in the Academy</t>
  </si>
  <si>
    <t>Marotte, Mary Ruth;Reynolds, Paige;Savarese, Ralph</t>
  </si>
  <si>
    <t>https://ebookcentral.proquest.com/lib/viva-active/detail.action?docID=864868</t>
  </si>
  <si>
    <t>Misframing Men : The Politics of Contemporary Masculinities</t>
  </si>
  <si>
    <t xml:space="preserve">Kimmel, Michael;Kimmel, Professor of the Department of Sociology Michael </t>
  </si>
  <si>
    <t>Men - Identity</t>
  </si>
  <si>
    <t>https://ebookcentral.proquest.com/lib/viva-active/detail.action?docID=864878</t>
  </si>
  <si>
    <t>Health Issues in Latino Males : A Social and Structural Approach</t>
  </si>
  <si>
    <t>Critical Issues in Health and Medicine Ser.</t>
  </si>
  <si>
    <t>Borrell, Luisa N.;Vega, William;Williams, David;ArTvalo, Sandra;Amaro, Hortensia;Ayala, George;Rumbaut, RubTn;Rodrfguez, Clara;Carter-Pokras, Olivia;Fischer, Alexander</t>
  </si>
  <si>
    <t>Men's Health - ethnology - United States</t>
  </si>
  <si>
    <t>https://ebookcentral.proquest.com/lib/viva-active/detail.action?docID=864879</t>
  </si>
  <si>
    <t>Sex for Life : From Virginity to Viagra, How Sexuality Changes Throughout Our Lives</t>
  </si>
  <si>
    <t>New York University Press</t>
  </si>
  <si>
    <t>Intersections Ser.</t>
  </si>
  <si>
    <t>Carpenter, Laura M.;DeLamater, John D.</t>
  </si>
  <si>
    <t>Sexual health</t>
  </si>
  <si>
    <t>https://ebookcentral.proquest.com/lib/viva-active/detail.action?docID=865418</t>
  </si>
  <si>
    <t>Intersexuality and the Law : Why Sex Matters</t>
  </si>
  <si>
    <t>Greenberg, Julie A.;Stam, Robert</t>
  </si>
  <si>
    <t>Intersex people - United States - Social conditions</t>
  </si>
  <si>
    <t>https://ebookcentral.proquest.com/lib/viva-active/detail.action?docID=865517</t>
  </si>
  <si>
    <t>The Right to Be Parents : LGBT Families and the Transformation of Parenthood</t>
  </si>
  <si>
    <t>Ball, Carlos A.</t>
  </si>
  <si>
    <t>LAW / Family Law / Children</t>
  </si>
  <si>
    <t>https://ebookcentral.proquest.com/lib/viva-active/detail.action?docID=865543</t>
  </si>
  <si>
    <t>Beyond the Nation : Diasporic Filipino Literature and Queer Reading</t>
  </si>
  <si>
    <t>Sexual Cultures Ser.</t>
  </si>
  <si>
    <t>Ponce, Martin Joseph</t>
  </si>
  <si>
    <t>Philippine literature - History and criticism</t>
  </si>
  <si>
    <t>https://ebookcentral.proquest.com/lib/viva-active/detail.action?docID=865822</t>
  </si>
  <si>
    <t>Muscular Nationalism : Gender, Violence, and Empire in India and Ireland, 1914-2004</t>
  </si>
  <si>
    <t>Gender and Political Violence Ser.</t>
  </si>
  <si>
    <t>Banerjee, Sikata</t>
  </si>
  <si>
    <t>Masculinity - Great Britain - History</t>
  </si>
  <si>
    <t>https://ebookcentral.proquest.com/lib/viva-active/detail.action?docID=866065</t>
  </si>
  <si>
    <t>Domesticating the Airwaves : Broadcasting, Domesticity and Femininity</t>
  </si>
  <si>
    <t>Andrews, Maggie</t>
  </si>
  <si>
    <t>Television broadcasting -- United States. ; Television and women -- United States. ; Women television viewers -- United States. ; Femininity -- United States.</t>
  </si>
  <si>
    <t>https://ebookcentral.proquest.com/lib/viva-active/detail.action?docID=866357</t>
  </si>
  <si>
    <t>Doing Harder Time? : The Experiences of an Ageing Male Prison Population in England and Wales</t>
  </si>
  <si>
    <t>Mann, Natalie</t>
  </si>
  <si>
    <t>Older prisoners -- England. ; Older prisoners -- Wales.</t>
  </si>
  <si>
    <t>https://ebookcentral.proquest.com/lib/viva-active/detail.action?docID=866395</t>
  </si>
  <si>
    <t>Sexual Revolutions in Cuba : Passion, Politics, and Memory</t>
  </si>
  <si>
    <t>Envisioning Cuba Ser.</t>
  </si>
  <si>
    <t>Hamilton, Carrie;Dore, Elizabeth</t>
  </si>
  <si>
    <t>Sex -- Cuba -- History. ; Cubans -- Sexual behavior -- History -- Interviews. ; Homosexuality -- Cuba -- History -- Interviews. ; Oral history -- Cuba. ; Cuba -- Social conditions -- Interviews. ; Cuba -- History -- Revolution, 1959.</t>
  </si>
  <si>
    <t>https://ebookcentral.proquest.com/lib/viva-active/detail.action?docID=867050</t>
  </si>
  <si>
    <t>Straitjacket Sexualities : Unbinding Asian American Manhoods in the Movies</t>
  </si>
  <si>
    <t>Asian America Ser.</t>
  </si>
  <si>
    <t>Shimizu, Celine;Shimizu, Celine Parren?as</t>
  </si>
  <si>
    <t>Asian American men in motion pictures. ; Masculinity in motion pictures. ; Sex in motion pictures. ; Motion pictures -- United States -- History.</t>
  </si>
  <si>
    <t>https://ebookcentral.proquest.com/lib/viva-active/detail.action?docID=868334</t>
  </si>
  <si>
    <t>Through Our Eyes : African American Men's Experiences of Race, Gender, and Violence</t>
  </si>
  <si>
    <t>Garfield, Gail</t>
  </si>
  <si>
    <t>African American men</t>
  </si>
  <si>
    <t>https://ebookcentral.proquest.com/lib/viva-active/detail.action?docID=868531</t>
  </si>
  <si>
    <t>The Managed Heart : Commercialization of Human Feeling</t>
  </si>
  <si>
    <t>Hochschild, Arlie Russell</t>
  </si>
  <si>
    <t>Emotions -- Economic aspects. ; Work -- Psychological aspects. ; Employee motivation.</t>
  </si>
  <si>
    <t>https://ebookcentral.proquest.com/lib/viva-active/detail.action?docID=870020</t>
  </si>
  <si>
    <t>Black Sexualities : Probing Powers, Passions, Practices, and Policies</t>
  </si>
  <si>
    <t>Battle, Juan;Barnes, Sandra L.;Guerrero, Marisa;Hunter, Marcus;Laudone, Stephanie;Lemelle, Anthony;Allen, Jafari;Brody, Jennifer;McCune, Jeffrey;Page, Enoch</t>
  </si>
  <si>
    <t>African Americans - Sexual behavior</t>
  </si>
  <si>
    <t>https://ebookcentral.proquest.com/lib/viva-active/detail.action?docID=870912</t>
  </si>
  <si>
    <t>Latina/o Sexualities : Probing Powers, Passions, Practices, and Policies</t>
  </si>
  <si>
    <t>Asencio, Marysol;Almaguer, Tomás;Munoz-Laboy, Miguel;Acosta, Katie;Mitchell, Pablo;Arreola, Sonya;Romo, Laura;Nadeem, Erum;Kouyoumdjian, Claudia;Gerena, Mariana</t>
  </si>
  <si>
    <t>Hispanics - Sexual behavior</t>
  </si>
  <si>
    <t>https://ebookcentral.proquest.com/lib/viva-active/detail.action?docID=870917</t>
  </si>
  <si>
    <t>Masculine Identities : The History and Meanings of Manliness</t>
  </si>
  <si>
    <t>Sussman, Herbert L.</t>
  </si>
  <si>
    <t>Men - History</t>
  </si>
  <si>
    <t>https://ebookcentral.proquest.com/lib/viva-active/detail.action?docID=872651</t>
  </si>
  <si>
    <t>Sufi Narratives of Intimacy : Ibn 'Arabī, Gender, and Sexuality</t>
  </si>
  <si>
    <t>Islamic Civilization and Muslim Networks Ser.</t>
  </si>
  <si>
    <t>Shaikh, Sa'diyya</t>
  </si>
  <si>
    <t>Literature; Religion</t>
  </si>
  <si>
    <t>Ibn al-?Arabi, -- 1165-1240 -- Criticism and interpretation. ; Anthropology of religion -- Islamic Empire. ; Women in Islam.</t>
  </si>
  <si>
    <t>https://ebookcentral.proquest.com/lib/viva-active/detail.action?docID=875592</t>
  </si>
  <si>
    <t>William Alexander Percy : The Curious Life of a Mississippi Planter and Sexual Freethinker</t>
  </si>
  <si>
    <t>Wise, Benjamin E.</t>
  </si>
  <si>
    <t>Percy, William Alexander, -- 1885-1942. ; Poets, American -- 20th century -- Biography. ; Landowners -- Mississippi -- Greenville -- Biography. ; Plantation life -- Mississippi -- Greenville.</t>
  </si>
  <si>
    <t>https://ebookcentral.proquest.com/lib/viva-active/detail.action?docID=875593</t>
  </si>
  <si>
    <t>Imagining Gay Paradise : Bali, Bangkok, and Cyber-Singapore</t>
  </si>
  <si>
    <t>Atkins, Gary L.</t>
  </si>
  <si>
    <t>Spies, Walter -- Influence. ; Koe, Stuart -- Influence. ; Khun Toc -- Influence. ; Gay men -- Southeast Asia -- Social conditions. ; Homosexuality and art. ; Paradise in art. ; Bali (Indonesia : Province) -- In art.</t>
  </si>
  <si>
    <t>https://ebookcentral.proquest.com/lib/viva-active/detail.action?docID=877736</t>
  </si>
  <si>
    <t>Gender, Heterosexuality, and Youth Violence : The Struggle for Recognition</t>
  </si>
  <si>
    <t>Messerschmidt, James W.</t>
  </si>
  <si>
    <t>Sex differences (Psychology) in adolescence</t>
  </si>
  <si>
    <t>https://ebookcentral.proquest.com/lib/viva-active/detail.action?docID=878270</t>
  </si>
  <si>
    <t>The War of the Sexes : How Conflict and Cooperation Have Shaped Men and Women from Prehistory to the Present</t>
  </si>
  <si>
    <t>Seabright, Paul</t>
  </si>
  <si>
    <t>Sex (Psychology) ; Sex differences (Psychology) ; Interpersonal relations. ; Men -- Psychology. ; Women -- Psychology.</t>
  </si>
  <si>
    <t>https://ebookcentral.proquest.com/lib/viva-active/detail.action?docID=878306</t>
  </si>
  <si>
    <t>Love for Sale : Courting, Treating, and Prostitution in New York City, 1900-1945</t>
  </si>
  <si>
    <t>Clement, Elizabeth Alice</t>
  </si>
  <si>
    <t>Prostitution -- New York (State) -- New York -- History -- 20th century. ; Sex customs -- New York (State) -- New York -- History -- 20th century. ; Courtship -- New York (State) -- New York -- History -- 20th century.</t>
  </si>
  <si>
    <t>https://ebookcentral.proquest.com/lib/viva-active/detail.action?docID=880087</t>
  </si>
  <si>
    <t>Sexuality, Politics, and Social Control in Virginia, 1920-1945</t>
  </si>
  <si>
    <t>Holloway, Pippa</t>
  </si>
  <si>
    <t>Sex customs -- Virginia -- History. ; African Americans -- Sexual behavior -- Virginia. ; African Americans -- Virginia -- Social conditions. ; Sexually transmitted diseases -- Law and legislation -- Virginia -- History -- 20th century. ; Working class women -- Sexual behavior -- Virginia -- History -- 20th century. ; Elite (Social sciences) -- Virginia -- History. ; Virginia -- Race relations -- History -- 20th century.</t>
  </si>
  <si>
    <t>https://ebookcentral.proquest.com/lib/viva-active/detail.action?docID=880202</t>
  </si>
  <si>
    <t>North Carolina and the Problem of AIDS : Advocacy, Politics, and Race in the South</t>
  </si>
  <si>
    <t>Inrig, Stephen J.</t>
  </si>
  <si>
    <t>AIDS (Disease) -- North Carolina -- History. ; AIDS (Disease) -- Social aspects -- North Carolina. ; AIDS (Disease) -- Southern States -- History. ; African American gays -- Diseases.</t>
  </si>
  <si>
    <t>https://ebookcentral.proquest.com/lib/viva-active/detail.action?docID=880211</t>
  </si>
  <si>
    <t>Conceiving the Future : Pronatalism, Reproduction, and the Family in the United States, 1890-1938</t>
  </si>
  <si>
    <t>Lovett, Laura L.</t>
  </si>
  <si>
    <t>Families - United States - History - 20th century</t>
  </si>
  <si>
    <t>https://ebookcentral.proquest.com/lib/viva-active/detail.action?docID=880274</t>
  </si>
  <si>
    <t>Making Home Work : Domesticity and Native American Assimilation in the American West, 1860-1919</t>
  </si>
  <si>
    <t>Simonsen, Jane E.</t>
  </si>
  <si>
    <t>Arts and society -- West (U.S.) -- History -- 19th century. ; Arts and society -- West (U.S.) -- History -- 20th century. ; Home economics -- Cross-cultural studies. ; Social values -- West (U.S.) ; Women -- West (U.S.) -- Social conditions. ; Indian women -- Cultural assimilation -- West (U.S.)</t>
  </si>
  <si>
    <t>https://ebookcentral.proquest.com/lib/viva-active/detail.action?docID=880414</t>
  </si>
  <si>
    <t>Sexual Politics in the Work of Tennessee Williams : Desire over Protest</t>
  </si>
  <si>
    <t>Hooper, Michael S. D.</t>
  </si>
  <si>
    <t>Williams, Tennessee, -- 1911-1983 -- Criticism and interpretation. ; Desire in literature.</t>
  </si>
  <si>
    <t>https://ebookcentral.proquest.com/lib/viva-active/detail.action?docID=880747</t>
  </si>
  <si>
    <t>Music, Sexuality and the Enlightenment in Mozart's Figaro, Don Giovanni and Così Fan Tutte</t>
  </si>
  <si>
    <t>Ford, Charles</t>
  </si>
  <si>
    <t>Mozart, Wolfgang Amadeus, -- 1756-1791. -- Nozze di Figaro. ; Mozart, Wolfgang Amadeus, -- 1756-1791. -- Don Giovanni. ; Mozart, Wolfgang Amadeus, -- 1756-1791. -- Così fan tutte. ; Sex in music. ; Opera -- 18th century.</t>
  </si>
  <si>
    <t>https://ebookcentral.proquest.com/lib/viva-active/detail.action?docID=883346</t>
  </si>
  <si>
    <t>Everywhere and Nowhere : Contemporary Feminism in the United States</t>
  </si>
  <si>
    <t>Reger, Jo</t>
  </si>
  <si>
    <t>Feminism -- United States. ; Feminists -- United States.</t>
  </si>
  <si>
    <t>https://ebookcentral.proquest.com/lib/viva-active/detail.action?docID=886578</t>
  </si>
  <si>
    <t>Minimizing Marriage : Marriage, Morality, and the Law</t>
  </si>
  <si>
    <t>Brake, Elizabeth</t>
  </si>
  <si>
    <t>Social Science; Philosophy</t>
  </si>
  <si>
    <t>Marriage -- Philosophy. ; Marriage -- Moral and ethical aspects. ; Marriage law.</t>
  </si>
  <si>
    <t>https://ebookcentral.proquest.com/lib/viva-active/detail.action?docID=886646</t>
  </si>
  <si>
    <t>Homecoming Queers : Desire and Difference in Chicana Latina Cultural Production</t>
  </si>
  <si>
    <t>Latinidad: Transnational Cultures in the United States Ser.</t>
  </si>
  <si>
    <t>Danielson, Marivel T.</t>
  </si>
  <si>
    <t>Hispanic American lesbians - Intellectual life</t>
  </si>
  <si>
    <t>https://ebookcentral.proquest.com/lib/viva-active/detail.action?docID=887965</t>
  </si>
  <si>
    <t>Gender and Dialogue in the Rabbinic Prism</t>
  </si>
  <si>
    <t>Studia Judaica Ser.</t>
  </si>
  <si>
    <t>Kosman, Admiel;Levin, Edward</t>
  </si>
  <si>
    <t>Rabbinical literature -- History and criticism. ; Women in rabbinical literature. ; Man-woman relationships. ; Masculinity -- Religious aspects -- Judaism. ; Psychoanalysis and religion. ; Judaism and psychoanalysis. ; Jewish philosophy.</t>
  </si>
  <si>
    <t>https://ebookcentral.proquest.com/lib/viva-active/detail.action?docID=893799</t>
  </si>
  <si>
    <t>The Thrill Makers : Celebrity, Masculinity, and Stunt Performance</t>
  </si>
  <si>
    <t>Smith, Jacob</t>
  </si>
  <si>
    <t>Daredevils - United States - History</t>
  </si>
  <si>
    <t>https://ebookcentral.proquest.com/lib/viva-active/detail.action?docID=896310</t>
  </si>
  <si>
    <t>Opacity and the Closet : Queer Tactics in Foucault, Barthes, and Warhol</t>
  </si>
  <si>
    <t>de Villiers, Nicholas</t>
  </si>
  <si>
    <t>Virtual reality -- Congresses. ; Visual programming (Computer science) -- Congresses. ; Visualization -- Data processing -- Congresses.</t>
  </si>
  <si>
    <t>https://ebookcentral.proquest.com/lib/viva-active/detail.action?docID=902541</t>
  </si>
  <si>
    <t>Gay Rights at the Ballot Box</t>
  </si>
  <si>
    <t>Stone, Amy L.</t>
  </si>
  <si>
    <t>Artificial intelligence -- Congresses. ; Fuzzy systems -- Congresses.</t>
  </si>
  <si>
    <t>https://ebookcentral.proquest.com/lib/viva-active/detail.action?docID=902559</t>
  </si>
  <si>
    <t>Queer Youth Suicide, Culture and Identity : Unliveable Lives?</t>
  </si>
  <si>
    <t>Cover, Rob</t>
  </si>
  <si>
    <t>Gay youth. ; Gay youth -- Suicidal behavior. ; Youth in mass media. ; Suicide in mass media.</t>
  </si>
  <si>
    <t>https://ebookcentral.proquest.com/lib/viva-active/detail.action?docID=906967</t>
  </si>
  <si>
    <t>Between a Man and a Woman? : Why Conservatives Oppose Same-Sex Marriage</t>
  </si>
  <si>
    <t>Columbia University Press</t>
  </si>
  <si>
    <t>Gender, Theory, and Religion</t>
  </si>
  <si>
    <t>Viefhues-Bailey, Ludger H.</t>
  </si>
  <si>
    <t>Focus on the Family (Organization)</t>
  </si>
  <si>
    <t>https://ebookcentral.proquest.com/lib/viva-active/detail.action?docID=908256</t>
  </si>
  <si>
    <t>Lesbian, Gay, Bisexual, and Transgender Aging : Research and Clinical Perspectives</t>
  </si>
  <si>
    <t>Kimmel, Douglas;Rose, Tara;David, Steven</t>
  </si>
  <si>
    <t>Older gays - United States</t>
  </si>
  <si>
    <t>https://ebookcentral.proquest.com/lib/viva-active/detail.action?docID=908267</t>
  </si>
  <si>
    <t>Where Men Hide</t>
  </si>
  <si>
    <t>Twitchell, James B.;Ross, Ken</t>
  </si>
  <si>
    <t>Men -- Psychology. ; Men -- Socialization. ; Men -- Attitudes.</t>
  </si>
  <si>
    <t>https://ebookcentral.proquest.com/lib/viva-active/detail.action?docID=908531</t>
  </si>
  <si>
    <t>Social Work Practice with Men at Risk</t>
  </si>
  <si>
    <t>Furman, Rich</t>
  </si>
  <si>
    <t>Men - Services for</t>
  </si>
  <si>
    <t>https://ebookcentral.proquest.com/lib/viva-active/detail.action?docID=908589</t>
  </si>
  <si>
    <t>Men to Boys : The Making of Modern Immaturity</t>
  </si>
  <si>
    <t>Cross, Gary</t>
  </si>
  <si>
    <t>Men in popular culture - United States</t>
  </si>
  <si>
    <t>https://ebookcentral.proquest.com/lib/viva-active/detail.action?docID=908591</t>
  </si>
  <si>
    <t>Queer Beauty : Sexuality and Aesthetics from Winckelmann to Freud and Beyond</t>
  </si>
  <si>
    <t>Columbia Themes in Philosophy, Social Criticism, and the Arts</t>
  </si>
  <si>
    <t>Davis, Whitney</t>
  </si>
  <si>
    <t>Aesthetics</t>
  </si>
  <si>
    <t>https://ebookcentral.proquest.com/lib/viva-active/detail.action?docID=908748</t>
  </si>
  <si>
    <t>The Truth About Girls and Boys : Challenging Toxic Stereotypes About Our Children</t>
  </si>
  <si>
    <t>Rivers, Caryl;Barnett, Rosalind</t>
  </si>
  <si>
    <t>Sex differences (Psychology) in children. ; Stereotypes (Social psychology) ; Child development. ; Child psychology.</t>
  </si>
  <si>
    <t>https://ebookcentral.proquest.com/lib/viva-active/detail.action?docID=908814</t>
  </si>
  <si>
    <t>Business, Not Politics : The Making of the Gay Market</t>
  </si>
  <si>
    <t>Between Men-Between Women: Lesbian and Gay Studies</t>
  </si>
  <si>
    <t>Sender, Katherine</t>
  </si>
  <si>
    <t>Lesbian consumers - United States.</t>
  </si>
  <si>
    <t>https://ebookcentral.proquest.com/lib/viva-active/detail.action?docID=908995</t>
  </si>
  <si>
    <t>Gay Men Choosing Parenthood</t>
  </si>
  <si>
    <t>Mallon, Gerald</t>
  </si>
  <si>
    <t>Gay fathers - United States - Psychology.</t>
  </si>
  <si>
    <t>https://ebookcentral.proquest.com/lib/viva-active/detail.action?docID=909139</t>
  </si>
  <si>
    <t>Political Manhood : Red Bloods, Mollycoddles, and the Politics of Progressive Era Reform</t>
  </si>
  <si>
    <t>Murphy, Kevin</t>
  </si>
  <si>
    <t>Social reformers - United States - Sexual behavior</t>
  </si>
  <si>
    <t>https://ebookcentral.proquest.com/lib/viva-active/detail.action?docID=909246</t>
  </si>
  <si>
    <t>The Violet Hour : The Violet Quill and the Making of Gay Culture</t>
  </si>
  <si>
    <t>Bergman, David</t>
  </si>
  <si>
    <t>Gay men's writings, American -- History and criticism. ; Homosexuality and literature -- United States -- History -- 20th century. ; American literature -- New York (State) -- New York -- History and criticism. ; American literature -- 20th century -- History and criticism. ; Gay men -- United States -- Intellectual life. ; Violet Quill (Group of writers) ; Gay men in literature.</t>
  </si>
  <si>
    <t>https://ebookcentral.proquest.com/lib/viva-active/detail.action?docID=909253</t>
  </si>
  <si>
    <t>When Heroes Love : The Ambiguity of Eros in the Stories of Gilgamesh and David</t>
  </si>
  <si>
    <t>Ackerman, Susan</t>
  </si>
  <si>
    <t>Language/Linguistics; Literature</t>
  </si>
  <si>
    <t>David, -- King of Israel. ; Jonathan -- (Biblical figure) ; Gilgamesh. ; Bible. -- O.T. -- Samuel -- Criticism, interpretation, etc. ; Homosexuality in literature. ; Homosexuality in the Bible.</t>
  </si>
  <si>
    <t>https://ebookcentral.proquest.com/lib/viva-active/detail.action?docID=909309</t>
  </si>
  <si>
    <t>On Sexuality and Power</t>
  </si>
  <si>
    <t>Sinfield, Alan</t>
  </si>
  <si>
    <t>Male homosexuality -- Psychological aspects. ; Power (Social sciences) ; Sex (Psychology) ; Gays in literature. ; Homosexuality and literature.</t>
  </si>
  <si>
    <t>https://ebookcentral.proquest.com/lib/viva-active/detail.action?docID=909330</t>
  </si>
  <si>
    <t>Hard to Swallow : Hard-Core Pornography on Screen</t>
  </si>
  <si>
    <t>Hines, Claire;Kerr, Darren</t>
  </si>
  <si>
    <t>Pornography-Social aspects. ; Pornographic films-History and criticism. ; Sex in motion pictures. ; Sex in mass media. ; Sex (Psychology) ; Mass media and sex. ; Gay erotic films-History and criticism.</t>
  </si>
  <si>
    <t>https://ebookcentral.proquest.com/lib/viva-active/detail.action?docID=909601</t>
  </si>
  <si>
    <t>The Myth of Sex Addiction</t>
  </si>
  <si>
    <t>Ley, David J.</t>
  </si>
  <si>
    <t>Social Science; Medicine</t>
  </si>
  <si>
    <t>Men - Sexual behavior</t>
  </si>
  <si>
    <t>https://ebookcentral.proquest.com/lib/viva-active/detail.action?docID=911844</t>
  </si>
  <si>
    <t>Purple Passages : Pound, Eliot, Zukofsky, Olson, Creeley, and the Ends of Patriarchal Poetry</t>
  </si>
  <si>
    <t>Contemp North American Poetry</t>
  </si>
  <si>
    <t>DuPlessis, Rachel Blau</t>
  </si>
  <si>
    <t>Patriarchy in literature</t>
  </si>
  <si>
    <t>https://ebookcentral.proquest.com/lib/viva-active/detail.action?docID=912122</t>
  </si>
  <si>
    <t>Homosexuality in Art</t>
  </si>
  <si>
    <t>Parkstone International</t>
  </si>
  <si>
    <t>Temptis</t>
  </si>
  <si>
    <t>Smalls, James</t>
  </si>
  <si>
    <t>Homosexuality in art.</t>
  </si>
  <si>
    <t>https://ebookcentral.proquest.com/lib/viva-active/detail.action?docID=915178</t>
  </si>
  <si>
    <t>Sexual Knowledge : Feeling, Fact, and Social Reform in Vienna, 1900-1934</t>
  </si>
  <si>
    <t>Austrian and Habsburg Studies</t>
  </si>
  <si>
    <t>McEwen, Britta</t>
  </si>
  <si>
    <t>Social problems - Austria - Vienna - History</t>
  </si>
  <si>
    <t>https://ebookcentral.proquest.com/lib/viva-active/detail.action?docID=915498</t>
  </si>
  <si>
    <t>Saltwater Sociality : A Melanesian Island Ethnography</t>
  </si>
  <si>
    <t>Schneider, Katharina</t>
  </si>
  <si>
    <t>Ethnology -- Papua New Guinea -- Bougainville Island Region. ; Matrilineal kinship -- Papua New Guinea -- Bougainville Island Region. ; Sex role -- Papua New Guinea -- Bougainville Island Region. ; Bougainville Island Region (Papua New Guinea) -- Social life and customs. ; Bougainville Island Region (Papua New Guinea) -- History -- Autonomy and independence movements.</t>
  </si>
  <si>
    <t>https://ebookcentral.proquest.com/lib/viva-active/detail.action?docID=915499</t>
  </si>
  <si>
    <t>Gender and the Negotiation of Daily Life in Mexico, 1750-1856</t>
  </si>
  <si>
    <t>UNP - Nebraska</t>
  </si>
  <si>
    <t>The Mexican Experience</t>
  </si>
  <si>
    <t>Lipsett-Rivera, Sonya</t>
  </si>
  <si>
    <t>Sex role -- Mexico. ; Human body -- Social aspects -- Mexico. ; Mexico -- Civilization -- 18th century. ; Mexico -- Civilization -- 19th century. ; Mexico -- Social life and customs -- 18th century. ; Mexico -- Social life and customs -- 19th century. ; Mexico -- Social conditions -- 18th century.</t>
  </si>
  <si>
    <t>https://ebookcentral.proquest.com/lib/viva-active/detail.action?docID=915525</t>
  </si>
  <si>
    <t>Tommy Boys, Lesbian Men, and Ancestral Wives : Female Same-Sex Practices in Africa</t>
  </si>
  <si>
    <t>Jacana Media</t>
  </si>
  <si>
    <t>Morgan, Ruth;Wierenga, Saskia</t>
  </si>
  <si>
    <t>Diffraction. ; Optics.</t>
  </si>
  <si>
    <t>https://ebookcentral.proquest.com/lib/viva-active/detail.action?docID=915981</t>
  </si>
  <si>
    <t>Fantasies of Cross-Dressing : Japanese Women Write Male-Male Erotica</t>
  </si>
  <si>
    <t>Brill's Japanese Studies Library</t>
  </si>
  <si>
    <t>Nagaike, Kazumi</t>
  </si>
  <si>
    <t>Erotic literature, Japanese -- History and criticism. ; Japanese literature -- Women authors -- History and criticism. ; Authors and readers -- Japan -- History -- 20th century. ; Women and literature -- Japan.</t>
  </si>
  <si>
    <t>https://ebookcentral.proquest.com/lib/viva-active/detail.action?docID=919579</t>
  </si>
  <si>
    <t>Communists and Perverts under the Palms : The Johns Committee in Florida, 1956-1965</t>
  </si>
  <si>
    <t>University Press of Florida</t>
  </si>
  <si>
    <t>Braukman, Stacy</t>
  </si>
  <si>
    <t>Homosexuality - Florida - History</t>
  </si>
  <si>
    <t>https://ebookcentral.proquest.com/lib/viva-active/detail.action?docID=923327</t>
  </si>
  <si>
    <t>Hospitality of the Matrix : Philosophy, Biomedicine, and Culture</t>
  </si>
  <si>
    <t xml:space="preserve">Aristarkhova, Irina;Anastas, Jeane W. </t>
  </si>
  <si>
    <t>Hospitality - Miscellanea</t>
  </si>
  <si>
    <t>https://ebookcentral.proquest.com/lib/viva-active/detail.action?docID=932153</t>
  </si>
  <si>
    <t>Passing/Out : Sexual Identity Veiled and Revealed</t>
  </si>
  <si>
    <t>Harrison, Kelby;Cooley, Dennis R.</t>
  </si>
  <si>
    <t>Outing (Sexual orientation) ; Passing (Identity) ; Gays -- Family relationships. ; Transsexuals -- Family relationships.</t>
  </si>
  <si>
    <t>https://ebookcentral.proquest.com/lib/viva-active/detail.action?docID=932434</t>
  </si>
  <si>
    <t>Global Care Work : Gender and Migration in Nordic Societies</t>
  </si>
  <si>
    <t>Nordic Academic Press</t>
  </si>
  <si>
    <t>Isaksen, Lise Widding</t>
  </si>
  <si>
    <t>Groupware (Computer software) -- Congresses. ; Decision support systems -- Congresses. ; Group decision making -- Congresses. ; Group work in education -- Congresses.</t>
  </si>
  <si>
    <t>https://ebookcentral.proquest.com/lib/viva-active/detail.action?docID=940044</t>
  </si>
  <si>
    <t>Asian American Sexual Politics : The Construction of Race, Gender, and Sexuality</t>
  </si>
  <si>
    <t>Chou, Rosalind S.</t>
  </si>
  <si>
    <t>Asian American women - Sexual behavior</t>
  </si>
  <si>
    <t>https://ebookcentral.proquest.com/lib/viva-active/detail.action?docID=947980</t>
  </si>
  <si>
    <t>Ambiguous Pleasures : Sexuality and Middle Class Self-Perceptions in Nairobi</t>
  </si>
  <si>
    <t>Spronk, Rachel</t>
  </si>
  <si>
    <t>Yuppies -- Sexual behavior -- Kenya -- Nairobi. ; Sexology -- Kenya -- Nairobi.</t>
  </si>
  <si>
    <t>https://ebookcentral.proquest.com/lib/viva-active/detail.action?docID=951808</t>
  </si>
  <si>
    <t>Colonial Discourse and Gender in U. S. Criminal Courts : Cultural Defenses and Prosecutions</t>
  </si>
  <si>
    <t>Routledge Advances in Criminology Ser.</t>
  </si>
  <si>
    <t>Braunmühl, Caroline</t>
  </si>
  <si>
    <t>Cultural defense (Law) - United States</t>
  </si>
  <si>
    <t>https://ebookcentral.proquest.com/lib/viva-active/detail.action?docID=957007</t>
  </si>
  <si>
    <t>Ultimate Fighting and Embodiment : Violence, Gender and Mixed Martial Arts</t>
  </si>
  <si>
    <t>Routledge Research in Sport, Culture and Society Ser.</t>
  </si>
  <si>
    <t>Spencer, Dale C.</t>
  </si>
  <si>
    <t>Sports and society</t>
  </si>
  <si>
    <t>https://ebookcentral.proquest.com/lib/viva-active/detail.action?docID=957100</t>
  </si>
  <si>
    <t>Handbook on Sexual Violence</t>
  </si>
  <si>
    <t>Brown, Jennifer M.;Walklate, Sandra L.</t>
  </si>
  <si>
    <t>Vergewaltigung</t>
  </si>
  <si>
    <t>https://ebookcentral.proquest.com/lib/viva-active/detail.action?docID=957739</t>
  </si>
  <si>
    <t>Gender, Power, and Military Occupations : Asia Pacific and the Middle East Since 1945</t>
  </si>
  <si>
    <t>Routledge Research in Gender and History Ser.</t>
  </si>
  <si>
    <t>De Matos, Christine;Ward, Rowena</t>
  </si>
  <si>
    <t>Military Science; Psychology</t>
  </si>
  <si>
    <t>Military occupation</t>
  </si>
  <si>
    <t>https://ebookcentral.proquest.com/lib/viva-active/detail.action?docID=957742</t>
  </si>
  <si>
    <t>Gender, Culture, and Consumer Behavior</t>
  </si>
  <si>
    <t>Otnes, Cele C.;Zayer, Linda Tuncay</t>
  </si>
  <si>
    <t>BUSINESS &amp; ECONOMICS / Consumer Behavior</t>
  </si>
  <si>
    <t>https://ebookcentral.proquest.com/lib/viva-active/detail.action?docID=957774</t>
  </si>
  <si>
    <t>Individualizing Gender and Sexuality : Theory and Practice</t>
  </si>
  <si>
    <t>Relational Perspectives Book Ser.</t>
  </si>
  <si>
    <t>Chodorow, Nancy J.</t>
  </si>
  <si>
    <t>Gender identity</t>
  </si>
  <si>
    <t>https://ebookcentral.proquest.com/lib/viva-active/detail.action?docID=957935</t>
  </si>
  <si>
    <t>Sex/Gender : Biology in a Social World</t>
  </si>
  <si>
    <t>Fausto-Sterling, Anne</t>
  </si>
  <si>
    <t>Sex differentiation</t>
  </si>
  <si>
    <t>https://ebookcentral.proquest.com/lib/viva-active/detail.action?docID=958063</t>
  </si>
  <si>
    <t>Sex Differences in Cognitive Abilities : 4th Edition</t>
  </si>
  <si>
    <t>Halpern, Diane F.</t>
  </si>
  <si>
    <t>Cognition. ; Sex differences (Psychology) ; Sex role.</t>
  </si>
  <si>
    <t>https://ebookcentral.proquest.com/lib/viva-active/detail.action?docID=958143</t>
  </si>
  <si>
    <t>Cities and Sexualities : Cities and Sexualities</t>
  </si>
  <si>
    <t>Routledge Critical Introductions to Urbanism and the City Ser.</t>
  </si>
  <si>
    <t>Hubbard, Phil</t>
  </si>
  <si>
    <t>Social service and sex</t>
  </si>
  <si>
    <t>https://ebookcentral.proquest.com/lib/viva-active/detail.action?docID=958197</t>
  </si>
  <si>
    <t>Man's Dominion : The Rise of Religion and the Eclipse of Women's Rights</t>
  </si>
  <si>
    <t>Jeffreys, Sheila</t>
  </si>
  <si>
    <t>Religion - Social aspects</t>
  </si>
  <si>
    <t>https://ebookcentral.proquest.com/lib/viva-active/detail.action?docID=958221</t>
  </si>
  <si>
    <t>New Directions in Sex Therapy : Innovations and Alternatives</t>
  </si>
  <si>
    <t>Kleinplatz, Peggy J.</t>
  </si>
  <si>
    <t>PSYCHOLOGY / Clinical Psychology</t>
  </si>
  <si>
    <t>https://ebookcentral.proquest.com/lib/viva-active/detail.action?docID=958268</t>
  </si>
  <si>
    <t>Gender and Genetics : Sociology of the Prenatal</t>
  </si>
  <si>
    <t>Genetics and Society Ser.</t>
  </si>
  <si>
    <t>Reed, Kate</t>
  </si>
  <si>
    <t>Medicine; Health; Social Science</t>
  </si>
  <si>
    <t>MEDICAL / Genetics</t>
  </si>
  <si>
    <t>https://ebookcentral.proquest.com/lib/viva-active/detail.action?docID=958539</t>
  </si>
  <si>
    <t>Gay TV and Straight America</t>
  </si>
  <si>
    <t>Becker, Ron</t>
  </si>
  <si>
    <t>Homosexuality on television. ; Homosexuality -- United States -- Public opinion. ; Public opinion -- United States.</t>
  </si>
  <si>
    <t>https://ebookcentral.proquest.com/lib/viva-active/detail.action?docID=967379</t>
  </si>
  <si>
    <t>Mad Men, Women, and Children : Essays on Gender and Generation</t>
  </si>
  <si>
    <t>Marcovitch, Heather;Batty, Nancy;Arosteguy, Katie;Ciasullo, Ann M.;Crate, Joan;Dole, Carol M.;Farrell, Hannah;Lane, Jr., Joseph H.;Marotte, Mary Ruth;Mauldin, Beth</t>
  </si>
  <si>
    <t>Children on television</t>
  </si>
  <si>
    <t>https://ebookcentral.proquest.com/lib/viva-active/detail.action?docID=977245</t>
  </si>
  <si>
    <t>Audiovisual Translation Through a Gender Lens</t>
  </si>
  <si>
    <t>Approaches to Translation Studies</t>
  </si>
  <si>
    <t>De Marco, Marcella</t>
  </si>
  <si>
    <t>Fine Arts; Language/Linguistics</t>
  </si>
  <si>
    <t>Motion pictures -- Translating. ; Sexism in motion pictures.</t>
  </si>
  <si>
    <t>https://ebookcentral.proquest.com/lib/viva-active/detail.action?docID=978035</t>
  </si>
  <si>
    <t>Race, Social Science and the Crisis of Manhood, 1890-1970 : We Are the Supermen</t>
  </si>
  <si>
    <t>Routledge Studies in African American History Ser.</t>
  </si>
  <si>
    <t>Lindquist, Malinda Alaine</t>
  </si>
  <si>
    <t>African American men -- Race identity. ; African American men -- Psychology. ; African American men -- Social conditions -- 20th century. ; Masculinity -- United States. ; Social sciences -- United States -- History -- 20th century.</t>
  </si>
  <si>
    <t>https://ebookcentral.proquest.com/lib/viva-active/detail.action?docID=981685</t>
  </si>
  <si>
    <t>Prostitution Scandals in China : Policing, Media and Society</t>
  </si>
  <si>
    <t>Routledge Studies on China in Transition Ser.</t>
  </si>
  <si>
    <t>Jeffreys, Elaine</t>
  </si>
  <si>
    <t>Mass media and sex - China</t>
  </si>
  <si>
    <t>https://ebookcentral.proquest.com/lib/viva-active/detail.action?docID=981826</t>
  </si>
  <si>
    <t>Rethinking the Gay and Lesbian Movement</t>
  </si>
  <si>
    <t>American Social and Political Movements of the 20th Century Ser.</t>
  </si>
  <si>
    <t>Gay liberation movement - United States - History</t>
  </si>
  <si>
    <t>https://ebookcentral.proquest.com/lib/viva-active/detail.action?docID=981927</t>
  </si>
  <si>
    <t>Thirteen Ways of Looking at a Man : Psychoanalysis and Masculinity</t>
  </si>
  <si>
    <t>Moss, Donald</t>
  </si>
  <si>
    <t>Men - Psychology</t>
  </si>
  <si>
    <t>https://ebookcentral.proquest.com/lib/viva-active/detail.action?docID=981936</t>
  </si>
  <si>
    <t>Perversion : A Lacanian Psychoanalytic Approach to the Subject</t>
  </si>
  <si>
    <t>Swales, Stephanie S.</t>
  </si>
  <si>
    <t>PSYCHOLOGY / Movements / Psychoanalysis</t>
  </si>
  <si>
    <t>https://ebookcentral.proquest.com/lib/viva-active/detail.action?docID=981946</t>
  </si>
  <si>
    <t>Contemporary Black American Cinema : Race, Gender and Sexuality at the Movies</t>
  </si>
  <si>
    <t>Mask, Mia</t>
  </si>
  <si>
    <t>African Americans in motion pictures. ; African Americans in the motion picture industry. ; Race in motion pictures. ; Sex role in motion pictures. ; Sex in motion pictures.</t>
  </si>
  <si>
    <t>https://ebookcentral.proquest.com/lib/viva-active/detail.action?docID=981965</t>
  </si>
  <si>
    <t>Technologies of Sexuality, Identity and Sexual Health</t>
  </si>
  <si>
    <t>Sexuality, Culture and Health Ser.</t>
  </si>
  <si>
    <t>Manderson, Lenore</t>
  </si>
  <si>
    <t>Reproductive Behavior</t>
  </si>
  <si>
    <t>https://ebookcentral.proquest.com/lib/viva-active/detail.action?docID=982126</t>
  </si>
  <si>
    <t>Policing Sex</t>
  </si>
  <si>
    <t>Johnson, Paul;Dalton, Derek</t>
  </si>
  <si>
    <t>SOCIAL SCIENCE - Criminology</t>
  </si>
  <si>
    <t>https://ebookcentral.proquest.com/lib/viva-active/detail.action?docID=982133</t>
  </si>
  <si>
    <t>Sex, Crime and Morality</t>
  </si>
  <si>
    <t>Willan Publishing</t>
  </si>
  <si>
    <t>Hayes, Sharon;Carpenter, Belinda;Dwyer, Angela</t>
  </si>
  <si>
    <t>Sex crimes - Moral and ethical aspects</t>
  </si>
  <si>
    <t>https://ebookcentral.proquest.com/lib/viva-active/detail.action?docID=982541</t>
  </si>
  <si>
    <t>Nationbuilding, Gender and War Crimes in South Asia</t>
  </si>
  <si>
    <t>Routledge Contemporary South Asia Ser.</t>
  </si>
  <si>
    <t>D'Costa, Bina</t>
  </si>
  <si>
    <t>Sex role - Political aspects - South Asia</t>
  </si>
  <si>
    <t>https://ebookcentral.proquest.com/lib/viva-active/detail.action?docID=987848</t>
  </si>
  <si>
    <t>A History of Police and Masculinities, 1700-2010</t>
  </si>
  <si>
    <t>Barrie, David G.;Broomhall, Susan</t>
  </si>
  <si>
    <t>Police -- History. ; Police -- Social aspects. ; Masculinity.</t>
  </si>
  <si>
    <t>https://ebookcentral.proquest.com/lib/viva-active/detail.action?docID=987986</t>
  </si>
  <si>
    <t>Learning the Hard Way : Masculinity, Place, and the Gender Gap in Education</t>
  </si>
  <si>
    <t>Morris, Edward W.;Morris, Edward</t>
  </si>
  <si>
    <t>High school boys - United States - Social conditions</t>
  </si>
  <si>
    <t>https://ebookcentral.proquest.com/lib/viva-active/detail.action?docID=988921</t>
  </si>
  <si>
    <t>Understanding Asexuality</t>
  </si>
  <si>
    <t>Bogaert, Anthony F.</t>
  </si>
  <si>
    <t>https://ebookcentral.proquest.com/lib/viva-active/detail.action?docID=990634</t>
  </si>
  <si>
    <t>Reading Sexualities : Hermeneutic Theory and the Future of Queer Studies</t>
  </si>
  <si>
    <t>Hall, Donald E.</t>
  </si>
  <si>
    <t>Homosexuality - Philosophy</t>
  </si>
  <si>
    <t>https://ebookcentral.proquest.com/lib/viva-active/detail.action?docID=995656</t>
  </si>
  <si>
    <t>Men, Wage Work and Family</t>
  </si>
  <si>
    <t>Routledge Research in Employment Relations Ser.</t>
  </si>
  <si>
    <t>McDonald, Paula;Jeanes, Emma</t>
  </si>
  <si>
    <t>Business/Management; Social Science</t>
  </si>
  <si>
    <t>Work and family. ; Men -- Employment. ; Work-life balance. ; Dual-career families. ; Hours of labor. ; Family policy.</t>
  </si>
  <si>
    <t>https://ebookcentral.proquest.com/lib/viva-active/detail.action?docID=995719</t>
  </si>
  <si>
    <t>Marx on Gender and the Family : A Critical Study</t>
  </si>
  <si>
    <t>Historical Materialism Book Ser.</t>
  </si>
  <si>
    <t>Brown, Heather A.</t>
  </si>
  <si>
    <t>Marx, Karl - Views on families</t>
  </si>
  <si>
    <t>https://ebookcentral.proquest.com/lib/viva-active/detail.action?docID=999443</t>
  </si>
  <si>
    <t>Interdisciplinary Bibliography on Language, Gender and Sexuality (2000–2011)</t>
  </si>
  <si>
    <t>Language/Linguistics; General Works/Reference</t>
  </si>
  <si>
    <t>Database management -- Congresses. ; Information storage and retrieval systems -- Congresses.</t>
  </si>
  <si>
    <t>https://ebookcentral.proquest.com/lib/viva-active/detail.action?docID=1013045</t>
  </si>
  <si>
    <t>Sex, Culpability and the Defence of Provocation</t>
  </si>
  <si>
    <t>Tyson, Danielle</t>
  </si>
  <si>
    <t>Provocation (Criminal law) ; Criminal liability (International law) ; Justification (Law) ; Defense (Criminal procedure) ; Women -- Violence against.</t>
  </si>
  <si>
    <t>https://ebookcentral.proquest.com/lib/viva-active/detail.action?docID=1016085</t>
  </si>
  <si>
    <t>Gender, Genre and Narrative Pleasure</t>
  </si>
  <si>
    <t>Routledge Library Editions: Women, Feminism and Literature Ser.</t>
  </si>
  <si>
    <t>Longhurst, Derek</t>
  </si>
  <si>
    <t>Literature and society. ; Literature -- History and criticism. ; Fiction -- History and criticism.</t>
  </si>
  <si>
    <t>https://ebookcentral.proquest.com/lib/viva-active/detail.action?docID=1016160</t>
  </si>
  <si>
    <t>Engendering Men : The Question of Male Feminist Criticism</t>
  </si>
  <si>
    <t>Boone, Joseph A.;Cadden, Michael</t>
  </si>
  <si>
    <t>American literature -- History and criticism -- Theory, etc. ; English literature -- History and criticism -- Theory, etc. ; Feminist literary criticism -- English-speaking countries. ; Feminism and literature -- English-speaking countries. ; Feminist literary criticism -- Male authors. ; Criticism -- Authorship -- Sex differences. ; Women in literature.</t>
  </si>
  <si>
    <t>https://ebookcentral.proquest.com/lib/viva-active/detail.action?docID=1016161</t>
  </si>
  <si>
    <t>Tough Guys and True Believers : Managing Authoritarian Men in the Psychotherapy Room</t>
  </si>
  <si>
    <t>Robertson, John M.</t>
  </si>
  <si>
    <t>Authoritarianism (Personality trait)</t>
  </si>
  <si>
    <t>https://ebookcentral.proquest.com/lib/viva-active/detail.action?docID=1020256</t>
  </si>
  <si>
    <t>Be Not Deceived : The Sacred and Sexual Struggles of Gay and Ex-Gay Christian Men</t>
  </si>
  <si>
    <t>Wolkomir, Michelle</t>
  </si>
  <si>
    <t>Christian gay men - Sexual behavior</t>
  </si>
  <si>
    <t>https://ebookcentral.proquest.com/lib/viva-active/detail.action?docID=1021850</t>
  </si>
  <si>
    <t>The Meaning of Gay : Interaction, Publicity, and Community among Homosexual Men in 1960s San Francisco</t>
  </si>
  <si>
    <t>Ormsbee, Todd J.;Ormsbee, Todd J</t>
  </si>
  <si>
    <t>Gay community - California - San Francisco - History - 20th century</t>
  </si>
  <si>
    <t>https://ebookcentral.proquest.com/lib/viva-active/detail.action?docID=1021886</t>
  </si>
  <si>
    <t>The Media and the Models of Masculinity</t>
  </si>
  <si>
    <t>Moss, Mark</t>
  </si>
  <si>
    <t>Men in mass media</t>
  </si>
  <si>
    <t>https://ebookcentral.proquest.com/lib/viva-active/detail.action?docID=1021905</t>
  </si>
  <si>
    <t>Looking South : Race, Gender, and the Transformation of Labor from Reconstruction to Globalization</t>
  </si>
  <si>
    <t>Southern Dissent Ser.</t>
  </si>
  <si>
    <t>Frederickson, Mary E.</t>
  </si>
  <si>
    <t>Labor market -- Southern States -- History. ; African Americans -- Employment -- Southern States -- History. ; Women -- Employment -- Southern States -- History. ; Reconstruction (U.S. history, 1865-1877) ; Globalization -- Economic aspects.</t>
  </si>
  <si>
    <t>https://ebookcentral.proquest.com/lib/viva-active/detail.action?docID=1023601</t>
  </si>
  <si>
    <t>The Rise and Fall of the Femme Fatale in British Literature, 1790–1910 : From Gothic Novel to Vampire Tale</t>
  </si>
  <si>
    <t>Braun, Heather L.</t>
  </si>
  <si>
    <t>Femmes fatales in literature</t>
  </si>
  <si>
    <t>https://ebookcentral.proquest.com/lib/viva-active/detail.action?docID=1023689</t>
  </si>
  <si>
    <t>Re-Reading the Salaryman in Japan : Crafting Masculinities</t>
  </si>
  <si>
    <t>Routledge/Asian Studies Association of Australia (ASAA) East Asian Ser.</t>
  </si>
  <si>
    <t>Dasgupta, Romit</t>
  </si>
  <si>
    <t>SOCIAL SCIENCE / Ethnic Studies / General</t>
  </si>
  <si>
    <t>https://ebookcentral.proquest.com/lib/viva-active/detail.action?docID=1024581</t>
  </si>
  <si>
    <t>Gender and Justice : Why Women in the Judiciary Really Matter</t>
  </si>
  <si>
    <t>Perspectives on Gender Ser.</t>
  </si>
  <si>
    <t>Kenney, Sally J.</t>
  </si>
  <si>
    <t>Women judges -- United States. ; Sex discrimination in justice administration -- United States.</t>
  </si>
  <si>
    <t>https://ebookcentral.proquest.com/lib/viva-active/detail.action?docID=1024632</t>
  </si>
  <si>
    <t>On Making Sense : Queer Race Narratives of Intelligibility</t>
  </si>
  <si>
    <t>Stanford Studies in Comparative Race and Ethnicity Ser.</t>
  </si>
  <si>
    <t>Martínez, Ernesto Javier</t>
  </si>
  <si>
    <t>American literature -- Minority authors -- History and criticism. ; Gays' writings, American -- History and criticism. ; Homosexuality in literature. ; Race in literature. ; Sexual minorities in literature. ; Sexual minorities' writings, American -- History and criticism.</t>
  </si>
  <si>
    <t>https://ebookcentral.proquest.com/lib/viva-active/detail.action?docID=1031941</t>
  </si>
  <si>
    <t>A Companion to Gender Prehistory</t>
  </si>
  <si>
    <t>Wiley Blackwell Companions to Anthropology Ser.</t>
  </si>
  <si>
    <t>Bolger, Diane</t>
  </si>
  <si>
    <t>Prehistoric peoples--Sex differences.</t>
  </si>
  <si>
    <t>https://ebookcentral.proquest.com/lib/viva-active/detail.action?docID=1034866</t>
  </si>
  <si>
    <t>The Ethics of Gender-Specific Disease</t>
  </si>
  <si>
    <t>Routledge Annals of Bioethics Ser.</t>
  </si>
  <si>
    <t>Cutter, Mary Ann</t>
  </si>
  <si>
    <t>Philosophy; Medicine</t>
  </si>
  <si>
    <t>Medical ethics. ; Sex factors in disease. ; Health -- Sex differences.</t>
  </si>
  <si>
    <t>https://ebookcentral.proquest.com/lib/viva-active/detail.action?docID=1039247</t>
  </si>
  <si>
    <t>Sexuality in Muslim Contexts : Restrictions and Resistance</t>
  </si>
  <si>
    <t>Helie, Anissa;Hoodfar, Homa</t>
  </si>
  <si>
    <t>Muslim women. ; Sex -- Religious aspects.</t>
  </si>
  <si>
    <t>https://ebookcentral.proquest.com/lib/viva-active/detail.action?docID=1042709</t>
  </si>
  <si>
    <t>Extra-Ordinary Men : White Heterosexual Masculinity and Contemporary Popular Cinema</t>
  </si>
  <si>
    <t>Rehling, Nicola</t>
  </si>
  <si>
    <t>Whites in motion pictures</t>
  </si>
  <si>
    <t>https://ebookcentral.proquest.com/lib/viva-active/detail.action?docID=1043781</t>
  </si>
  <si>
    <t>Affairs of State : The Untold History of Presidential Love, Sex, and Scandal, 1789–1900</t>
  </si>
  <si>
    <t>Watson, Robert P.</t>
  </si>
  <si>
    <t>Adultery - United States - History</t>
  </si>
  <si>
    <t>https://ebookcentral.proquest.com/lib/viva-active/detail.action?docID=1046295</t>
  </si>
  <si>
    <t>When the Opposite Sex Isn't : Sexual Orientation in Male-To-Female Transgender People</t>
  </si>
  <si>
    <t>Samons, Sandra L.</t>
  </si>
  <si>
    <t>Transgender people. ; Transgender people -- Identity. ; Gender identity. ; Male-to-female transsexuals. ; Transgenderism.</t>
  </si>
  <si>
    <t>https://ebookcentral.proquest.com/lib/viva-active/detail.action?docID=1046972</t>
  </si>
  <si>
    <t>Men and Masculinities in Southeast Asia</t>
  </si>
  <si>
    <t>Routledge Contemporary Southeast Asia Ser.</t>
  </si>
  <si>
    <t>Lyons, Lenore;Ford, Michèle</t>
  </si>
  <si>
    <t>Men -- Southeast Asia. ; Masculinity -- Southeast Asia.</t>
  </si>
  <si>
    <t>https://ebookcentral.proquest.com/lib/viva-active/detail.action?docID=1046979</t>
  </si>
  <si>
    <t>Heterosexuality in Theory and Practice</t>
  </si>
  <si>
    <t>Beasley, Chris;Brook, Heather;Holmes, Mary</t>
  </si>
  <si>
    <t>Heterosexuality</t>
  </si>
  <si>
    <t>https://ebookcentral.proquest.com/lib/viva-active/detail.action?docID=1047027</t>
  </si>
  <si>
    <t>Aesthetic Modernism and Masculinity in Fascist Italy</t>
  </si>
  <si>
    <t>Popular Culture and World Politics Ser.</t>
  </si>
  <si>
    <t>Champagne, John</t>
  </si>
  <si>
    <t>Fascism and art -- Italy -- History -- 20th century. ; Masculinity in art. ; Modernism (Aesthetics) -- Italy. ; Arts, Italian -- 20th century.</t>
  </si>
  <si>
    <t>https://ebookcentral.proquest.com/lib/viva-active/detail.action?docID=1047038</t>
  </si>
  <si>
    <t>Studying Men and Masculinities</t>
  </si>
  <si>
    <t>Buchbinder, David</t>
  </si>
  <si>
    <t>Men's studies</t>
  </si>
  <si>
    <t>https://ebookcentral.proquest.com/lib/viva-active/detail.action?docID=1047201</t>
  </si>
  <si>
    <t>South Africa and the Dream of Love to Come : Queer Sexuality and the Struggle for Freedom</t>
  </si>
  <si>
    <t>Munro, Brenna M.</t>
  </si>
  <si>
    <t>Homosexuality in literature. ; Literature and society -- South Africa -- History -- 20th century. ; South African literature (English) -- 20th century -- History and criticism. ; South Africa -- Intellectual life -- 20th century.</t>
  </si>
  <si>
    <t>https://ebookcentral.proquest.com/lib/viva-active/detail.action?docID=1047457</t>
  </si>
  <si>
    <t>Body Drift : Butler, Hayles, Haraway</t>
  </si>
  <si>
    <t>Posthumanities</t>
  </si>
  <si>
    <t>Kroker, Arthur</t>
  </si>
  <si>
    <t>Earthquakes. ; Volcanoes.</t>
  </si>
  <si>
    <t>https://ebookcentral.proquest.com/lib/viva-active/detail.action?docID=1047460</t>
  </si>
  <si>
    <t>Intimate Partner Violence among Adolescents : Causes and Correlates</t>
  </si>
  <si>
    <t>Criminal Justice: Recent Scholarship</t>
  </si>
  <si>
    <t>Clark, Valerie A.</t>
  </si>
  <si>
    <t>Fuzzy mathematics. ; Mathematics.</t>
  </si>
  <si>
    <t>https://ebookcentral.proquest.com/lib/viva-active/detail.action?docID=1057794</t>
  </si>
  <si>
    <t>Commercial Sexual Exploitation of Children</t>
  </si>
  <si>
    <t>Dank, Meredith L</t>
  </si>
  <si>
    <t>Terrorism -- United States -- Prevention. ; War on Terrorism, 2001-2009.</t>
  </si>
  <si>
    <t>https://ebookcentral.proquest.com/lib/viva-active/detail.action?docID=1057798</t>
  </si>
  <si>
    <t>Gender Attitudes and Violence against Women</t>
  </si>
  <si>
    <t>York, Melinda R.</t>
  </si>
  <si>
    <t>Universal Mobile Telecommunications System. ; Radio -- Transmitters and transmission.</t>
  </si>
  <si>
    <t>https://ebookcentral.proquest.com/lib/viva-active/detail.action?docID=1057880</t>
  </si>
  <si>
    <t>Queer Tracks: Subversive Strategies in Rock and Pop Music</t>
  </si>
  <si>
    <t>Ashgate Popular and Folk Music Ser.</t>
  </si>
  <si>
    <t>Leibetseder, Doris;Hawkins, Professor Stan;Burns, Professor Lori</t>
  </si>
  <si>
    <t>Rock music -- History and criticism. ; Popular music -- History and criticism. ; Gender identity in music. ; Queer theory. ; Music -- Philosophy and aesthetics.</t>
  </si>
  <si>
    <t>https://ebookcentral.proquest.com/lib/viva-active/detail.action?docID=1068870</t>
  </si>
  <si>
    <t>Gender and Colonial Space</t>
  </si>
  <si>
    <t>Manchester University Press</t>
  </si>
  <si>
    <t>Feminist theory. ; Feminist geography. ; Gender identity in literature. ; Postcolonialism in literature. ; Postcolonialism.</t>
  </si>
  <si>
    <t>https://ebookcentral.proquest.com/lib/viva-active/detail.action?docID=1069467</t>
  </si>
  <si>
    <t>Divine Love : Luce Irigaray, Women, Gender and Religion</t>
  </si>
  <si>
    <t>Manchester Studies in Religion, Culture and Gender Ser.</t>
  </si>
  <si>
    <t>Joy, Morny</t>
  </si>
  <si>
    <t>Irigaray, Luce. ; Feminist theory. ; Sex role. ; Sex differences -- Religious aspects.</t>
  </si>
  <si>
    <t>https://ebookcentral.proquest.com/lib/viva-active/detail.action?docID=1069470</t>
  </si>
  <si>
    <t>Subject of Love : Hélène Cixous and the Feminine Divine</t>
  </si>
  <si>
    <t>Renshaw, Sal</t>
  </si>
  <si>
    <t>Cixous, Hélène, -- 1937- -- Criticism and interpretation. ; Love in literature. ; Feminism in literature.</t>
  </si>
  <si>
    <t>https://ebookcentral.proquest.com/lib/viva-active/detail.action?docID=1069516</t>
  </si>
  <si>
    <t>The Bush Administration, Sex and the Moral Agenda</t>
  </si>
  <si>
    <t>Ashbee, Edward</t>
  </si>
  <si>
    <t>Cultural policy.</t>
  </si>
  <si>
    <t>https://ebookcentral.proquest.com/lib/viva-active/detail.action?docID=1069548</t>
  </si>
  <si>
    <t>Gay Men and the Left in Post-War Britain : How the Personal Got Political</t>
  </si>
  <si>
    <t>Critical Labour Movement Studies</t>
  </si>
  <si>
    <t>Robinson, Lucy</t>
  </si>
  <si>
    <t>Gay men -- Political activity -- Great Britain. ; Gay liberation movement -- Great Britain. ; Politics, Practical -- Great Britain. ; Great Britain -- Politics and government -- 1945-</t>
  </si>
  <si>
    <t>https://ebookcentral.proquest.com/lib/viva-active/detail.action?docID=1069568</t>
  </si>
  <si>
    <t>Women and ETA : The Gender Politics of Radical Basque Nationalism</t>
  </si>
  <si>
    <t>Hamilton, Carrie;Saunders, Anna</t>
  </si>
  <si>
    <t>ETA (Organization) ; Women, Basque.</t>
  </si>
  <si>
    <t>https://ebookcentral.proquest.com/lib/viva-active/detail.action?docID=1069587</t>
  </si>
  <si>
    <t>Object Matters : Condoms, Adolescence and Time</t>
  </si>
  <si>
    <t>Vitellone, Nicole</t>
  </si>
  <si>
    <t>Teenagers -- Sexual behavior. ; Condoms -- Social aspects. ; Sex instruction -- Social aspects. ; Safe sex in AIDS prevention. ; Sexology -- Research. ; AIDS (Disease) -- Social aspects. ; Sex -- Social aspects.</t>
  </si>
  <si>
    <t>https://ebookcentral.proquest.com/lib/viva-active/detail.action?docID=1069590</t>
  </si>
  <si>
    <t>The Secret Vice : Masturbation in Victorian Fiction and Medical Culture</t>
  </si>
  <si>
    <t>Mason, Diane</t>
  </si>
  <si>
    <t>Masturbation - Great Britain - History - 19th century</t>
  </si>
  <si>
    <t>https://ebookcentral.proquest.com/lib/viva-active/detail.action?docID=1069611</t>
  </si>
  <si>
    <t>Living in Sin : Cohabiting as Husband and Wife in Nineteenth-Century England</t>
  </si>
  <si>
    <t>Gender in History Ser.</t>
  </si>
  <si>
    <t>Frost, Ginger S.</t>
  </si>
  <si>
    <t>Unmarried couples -- England -- History -- 19th century.</t>
  </si>
  <si>
    <t>https://ebookcentral.proquest.com/lib/viva-active/detail.action?docID=1069613</t>
  </si>
  <si>
    <t>Victorians and the Virgin Mary : Religion and Gender in England, 1830-1885</t>
  </si>
  <si>
    <t>Herringer, Carol Engelhardt;Herringer, Carol Engelhardt</t>
  </si>
  <si>
    <t>Mary, -- Blessed Virgin, Saint. ; Feminism -- Religious aspects -- Christianity -- History -- 19th century. ; Feminism -- Religious aspects -- Catholic Church -- History -- 19th century. ; Women in Christianity -- England -- History -- 19th century. ; England -- Religion -- 19th century.</t>
  </si>
  <si>
    <t>https://ebookcentral.proquest.com/lib/viva-active/detail.action?docID=1069617</t>
  </si>
  <si>
    <t>Gender and Housing in Soviet Russia : Private Life in a Public Space</t>
  </si>
  <si>
    <t>Attwood, Lynne</t>
  </si>
  <si>
    <t>Housing -- Soviet Union. ; Women -- Soviet Union -- Social conditions. ; Sex role -- Soviet Union.</t>
  </si>
  <si>
    <t>https://ebookcentral.proquest.com/lib/viva-active/detail.action?docID=1069662</t>
  </si>
  <si>
    <t>Doubting Sex : Inscriptions, Bodies and Selves in Nineteenth-Century Hermaphrodite Case Histories</t>
  </si>
  <si>
    <t>Mak, Geertje</t>
  </si>
  <si>
    <t>Intersexuality -- History. ; Gender identity -- History. ; Sex role -- History.</t>
  </si>
  <si>
    <t>https://ebookcentral.proquest.com/lib/viva-active/detail.action?docID=1069673</t>
  </si>
  <si>
    <t>The Last Taboo : Women and Body Hair</t>
  </si>
  <si>
    <t xml:space="preserve">Lesnik-Oberstein, Karin;Lesnik-Oberstein, Salvesen Junior Research Fellow Karin </t>
  </si>
  <si>
    <t>Hair - Social aspects</t>
  </si>
  <si>
    <t>https://ebookcentral.proquest.com/lib/viva-active/detail.action?docID=1069692</t>
  </si>
  <si>
    <t>Fiminine Public Sphere : Middle-Class Women and Civic Life in Scotland, C. 1870-1914</t>
  </si>
  <si>
    <t>Smitley, Megan;Smitley, Megan</t>
  </si>
  <si>
    <t>Middle class women -- Scotland -- Social conditions -- 19th century. ; Middle class women -- Scotland -- Social conditions -- 20th century. ; Citizenship -- Scotland. ; Civics, British. ; Women -- Political activity -- Scotland.</t>
  </si>
  <si>
    <t>https://ebookcentral.proquest.com/lib/viva-active/detail.action?docID=1069705</t>
  </si>
  <si>
    <t>Adolescent Literacies and the Gendered Self : (Re)constructing Identities Through Multimodal Literacy Practices</t>
  </si>
  <si>
    <t>Guzzetti, Barbara J.;Bean, Thomas</t>
  </si>
  <si>
    <t>Social Science; Education</t>
  </si>
  <si>
    <t>Literacy - Sex differences - United States</t>
  </si>
  <si>
    <t>https://ebookcentral.proquest.com/lib/viva-active/detail.action?docID=1074885</t>
  </si>
  <si>
    <t>Organised Sexual Abuse</t>
  </si>
  <si>
    <t>Salter, Michael</t>
  </si>
  <si>
    <t>Child sexual abuse. ; Child abuse -- Law and legislation. ; Sexually abused children -- Legal status, laws, etc.</t>
  </si>
  <si>
    <t>https://ebookcentral.proquest.com/lib/viva-active/detail.action?docID=1075240</t>
  </si>
  <si>
    <t>When We Were Free to Be : Looking Back at a Children's Classic and the Difference It Made</t>
  </si>
  <si>
    <t>Rotskoff, Lori;Lovett, Laura L.</t>
  </si>
  <si>
    <t>Children -- Conduct of life -- History. ; Self-acceptance -- History.</t>
  </si>
  <si>
    <t>https://ebookcentral.proquest.com/lib/viva-active/detail.action?docID=1076065</t>
  </si>
  <si>
    <t>The Sex Education Debates</t>
  </si>
  <si>
    <t>Kendall, Nancy</t>
  </si>
  <si>
    <t>Sex instruction for teenagers - Government policy - United States</t>
  </si>
  <si>
    <t>https://ebookcentral.proquest.com/lib/viva-active/detail.action?docID=1077417</t>
  </si>
  <si>
    <t>Men and Mothers : The Lifelong Struggle of Sons and Their Mothers</t>
  </si>
  <si>
    <t>Freud, Hendrika C.;de Jager, Marjolijn</t>
  </si>
  <si>
    <t>Mothers and sons. ; Mother and child.</t>
  </si>
  <si>
    <t>https://ebookcentral.proquest.com/lib/viva-active/detail.action?docID=1079839</t>
  </si>
  <si>
    <t>Artistic Ambivalence in Clay : Portraits of Pottery, Ceramics, and Gender</t>
  </si>
  <si>
    <t>Cambridge Scholars Publisher</t>
  </si>
  <si>
    <t>Weida, Courtney Lee</t>
  </si>
  <si>
    <t>Women potters -- United States. ; Art pottery, American -- 21st century. ; Feminism and art. ; Feminism in art. ; Feminist art criticism.</t>
  </si>
  <si>
    <t>https://ebookcentral.proquest.com/lib/viva-active/detail.action?docID=1080667</t>
  </si>
  <si>
    <t>Ancient Worlds in Film and Television : Gender and Politics</t>
  </si>
  <si>
    <t>Metaforms Ser.</t>
  </si>
  <si>
    <t>Renger, Almut-Barbara;Solomon, Jon</t>
  </si>
  <si>
    <t>Civilization, Ancient, in motion pictures. ; Civilization, Ancient, on television. ; Historical films -- History and criticism. ; Motion pictures and history. ; Politics in motion pictures. ; Sex role in motion pictures. ; Television and history.</t>
  </si>
  <si>
    <t>https://ebookcentral.proquest.com/lib/viva-active/detail.action?docID=1081609</t>
  </si>
  <si>
    <t>Stolen Honor : Stigmatizing Muslim Men in Berlin</t>
  </si>
  <si>
    <t>Ewing, Katherine Pratt</t>
  </si>
  <si>
    <t>Religion; Social Science</t>
  </si>
  <si>
    <t>Muslims -- Germany -- Berlin -- Social conditions. ; Muslims -- Germany -- Berlin -- Attitudes. ; Social integration -- Germany -- Berlin.</t>
  </si>
  <si>
    <t>https://ebookcentral.proquest.com/lib/viva-active/detail.action?docID=1084670</t>
  </si>
  <si>
    <t>Transgender Voices : Beyond Women and Men</t>
  </si>
  <si>
    <t>University Press of New England</t>
  </si>
  <si>
    <t>Girshick, Lori B.;Green, Jamison</t>
  </si>
  <si>
    <t>Transgender people -- Interviews. ; Transgenderism.</t>
  </si>
  <si>
    <t>https://ebookcentral.proquest.com/lib/viva-active/detail.action?docID=1084869</t>
  </si>
  <si>
    <t>Gender and American Jews : Patterns in Work, Education, and Family in Contemporary Life</t>
  </si>
  <si>
    <t>Brandeis University Press</t>
  </si>
  <si>
    <t>HBI Series on Jewish Women</t>
  </si>
  <si>
    <t>Hartman, Harriet;Hartman, Moshe;Fishman, Sylvia Barack</t>
  </si>
  <si>
    <t>Jewish women -- United States. ; Jewish families -- United States. ; Sexual division of labor -- United States.</t>
  </si>
  <si>
    <t>https://ebookcentral.proquest.com/lib/viva-active/detail.action?docID=1084893</t>
  </si>
  <si>
    <t>Napoleonic Friendship : Military Fraternity, Intimacy, and Sexuality in Nineteenth-Century France</t>
  </si>
  <si>
    <t>University of New Hampshire Press</t>
  </si>
  <si>
    <t>Becoming Modern: New Nineteenth-Century Studies</t>
  </si>
  <si>
    <t>Martin, Brian Joseph</t>
  </si>
  <si>
    <t>Napoleon -- I, -- Emperor of the French, -- 1769-1821 -- Relations with soldiers. ; Sociology, Military -- France -- History -- 19th century. ; Male friendship -- France -- History -- 19th century. ; Soldiers -- France -- History -- 19th century. ; French literature -- 19th century -- History and criticism. ; Homosexuality in literature. ; Male friendship in literature.</t>
  </si>
  <si>
    <t>https://ebookcentral.proquest.com/lib/viva-active/detail.action?docID=1084931</t>
  </si>
  <si>
    <t>Typology of Domestic Violence : Intimate Terrorism, Violent Resistance, and Situational Couple Violence</t>
  </si>
  <si>
    <t>Northeastern University Press</t>
  </si>
  <si>
    <t>Northeastern Series on Gender, Crime, and Law</t>
  </si>
  <si>
    <t>Johnson, Michael P.</t>
  </si>
  <si>
    <t>Family violence -- United States. ; Marital violence -- United States. ; Victims of family violence -- United States.</t>
  </si>
  <si>
    <t>https://ebookcentral.proquest.com/lib/viva-active/detail.action?docID=1084935</t>
  </si>
  <si>
    <t>Equality with a Vengeance : Men's Rights Groups, Battered Women, and Antifeminist Backlash</t>
  </si>
  <si>
    <t>Dragiewicz, Molly</t>
  </si>
  <si>
    <t>Social Science; Law</t>
  </si>
  <si>
    <t>Abused women -- United States. ; Family violence -- United States. ; Family violence -- Law and legislation -- United States. ; Feminism -- United States.</t>
  </si>
  <si>
    <t>https://ebookcentral.proquest.com/lib/viva-active/detail.action?docID=1084951</t>
  </si>
  <si>
    <t>The Philosophy of Viagra : Bioethical Responses to the Viagrification of the Modern World</t>
  </si>
  <si>
    <t>Value Inquiry Book Ser.</t>
  </si>
  <si>
    <t>Botz-Bornstein, Thorsten</t>
  </si>
  <si>
    <t>Medicine; Social Science</t>
  </si>
  <si>
    <t>Impotence -- Social aspects. ; Sex (Psychology) ; Sldenafil. ; Pharmaceutical industry. ; Bioethics.</t>
  </si>
  <si>
    <t>https://ebookcentral.proquest.com/lib/viva-active/detail.action?docID=1092281</t>
  </si>
  <si>
    <t>Global Issues in Contemporary Hispanic Women's Writing : Shaping Gender, the Environment, and Politics</t>
  </si>
  <si>
    <t>Routledge Studies in Contemporary Literature Ser.</t>
  </si>
  <si>
    <t>Cibreiro, Estrella;López, Francisca</t>
  </si>
  <si>
    <t>Spanish literature -- Women authors -- History and criticism. ; Spanish American literature -- Women authors -- History and criticism. ; Women and literature -- Latin America. ; Women and literature -- Spain. ; Gender identity in literature. ; Ecofeminism in literature.</t>
  </si>
  <si>
    <t>https://ebookcentral.proquest.com/lib/viva-active/detail.action?docID=1092656</t>
  </si>
  <si>
    <t>Between Men and Feminism (RLE Feminist Theory) : Colloquium: Papers</t>
  </si>
  <si>
    <t>Routledge Library Editions: Feminist Theory</t>
  </si>
  <si>
    <t>Porter, David</t>
  </si>
  <si>
    <t>Men. ; Men -- Psychology. ; Sex role. ; Feminism.</t>
  </si>
  <si>
    <t>https://ebookcentral.proquest.com/lib/viva-active/detail.action?docID=1092688</t>
  </si>
  <si>
    <t>Ethics and Human Reproduction (RLE Feminist Theory) : A Feminist Analysis</t>
  </si>
  <si>
    <t>Routledge Library Editions: Feminist Theory Ser.</t>
  </si>
  <si>
    <t>Overall, Christine</t>
  </si>
  <si>
    <t>Science: Biology/Natural History; Science; Philosophy</t>
  </si>
  <si>
    <t>Human reproduction -- Moral and ethical aspects. ; Feminism.</t>
  </si>
  <si>
    <t>https://ebookcentral.proquest.com/lib/viva-active/detail.action?docID=1092690</t>
  </si>
  <si>
    <t>Communicating Marginalized Masculinities : Identity Politics in TV, Film, and New Media</t>
  </si>
  <si>
    <t>Routledge Studies in Rhetoric and Communication Ser.</t>
  </si>
  <si>
    <t>Moshin, Jamie E.;Jackson II, Ronald L.</t>
  </si>
  <si>
    <t>Masculinity in mass media. ; Race relations in mass media. ; Ethnicity in mass media. ; Identity (Psychology) and mass media.</t>
  </si>
  <si>
    <t>https://ebookcentral.proquest.com/lib/viva-active/detail.action?docID=1092721</t>
  </si>
  <si>
    <t>Handbook of Father Involvement : Multidisciplinary Perspectives, Second Edition</t>
  </si>
  <si>
    <t>Cabrera, Natasha J.;Tamis-LeMonda, Catherine S.</t>
  </si>
  <si>
    <t>Fathers. ; Fatherhood. ; Father and child.</t>
  </si>
  <si>
    <t>https://ebookcentral.proquest.com/lib/viva-active/detail.action?docID=1092738</t>
  </si>
  <si>
    <t>Untying the Knot : A Husband and Wife's Story of Coming Out Together</t>
  </si>
  <si>
    <t>Addicus Books</t>
  </si>
  <si>
    <t>Kaufman, David L.</t>
  </si>
  <si>
    <t>Kaufman, David, -- 1959 June 6- ; Gay men -- Biography. ; Lesbians -- Biography. ; Coming out (Sexual orientation) -- United States.</t>
  </si>
  <si>
    <t>https://ebookcentral.proquest.com/lib/viva-active/detail.action?docID=1093846</t>
  </si>
  <si>
    <t>Music and Gender in English Renaissance Drama</t>
  </si>
  <si>
    <t>Routledge Advances in Theatre and Performance Studies</t>
  </si>
  <si>
    <t>Wong, Katrine K.</t>
  </si>
  <si>
    <t>English drama -- Early modern and Elizabethan, 1500-1600 -- History and criticism. ; Sex role in literature. ; Sex in literature. ; Music in literature.</t>
  </si>
  <si>
    <t>https://ebookcentral.proquest.com/lib/viva-active/detail.action?docID=1097810</t>
  </si>
  <si>
    <t>Doing Gender, Doing Geography : Emerging Research in India</t>
  </si>
  <si>
    <t>Raju, Saraswati;Lahiri-Dutt, Kuntala</t>
  </si>
  <si>
    <t>Gender mainstreaming - India</t>
  </si>
  <si>
    <t>https://ebookcentral.proquest.com/lib/viva-active/detail.action?docID=1099036</t>
  </si>
  <si>
    <t>Bisexuality and Transgenderism : InterSEXions of the Others</t>
  </si>
  <si>
    <t>Klein, Fritz;Yescavage, Karen;Alexander, Jonathan</t>
  </si>
  <si>
    <t>Bisexuality. ; Transgenderism.</t>
  </si>
  <si>
    <t>https://ebookcentral.proquest.com/lib/viva-active/detail.action?docID=1099435</t>
  </si>
  <si>
    <t>Routledge International Handbook of Crime and Gender Studies</t>
  </si>
  <si>
    <t>Routledge International Handbooks Ser.</t>
  </si>
  <si>
    <t>Renzetti, Claire M.;Miller, Susan L.;Gover, Angela R.</t>
  </si>
  <si>
    <t>Crime - Sex differences</t>
  </si>
  <si>
    <t>https://ebookcentral.proquest.com/lib/viva-active/detail.action?docID=1101323</t>
  </si>
  <si>
    <t>Concrete and Dust: Mapping the Sexual Terrains of Los Angeles</t>
  </si>
  <si>
    <t>Minge, Jeanine Marie;Zimmerman, Amber Lynn</t>
  </si>
  <si>
    <t>Sex - California - Los Angeles - History</t>
  </si>
  <si>
    <t>https://ebookcentral.proquest.com/lib/viva-active/detail.action?docID=1101385</t>
  </si>
  <si>
    <t>Masculinity and Sexuality in Modern Mexico</t>
  </si>
  <si>
    <t>University of New Mexico Press</t>
  </si>
  <si>
    <t>Diálogos Ser.</t>
  </si>
  <si>
    <t>Macías-González, Víctor M.;Rubenstein, Anne</t>
  </si>
  <si>
    <t>Masculinity -- Mexico -- History. ; Men -- Mexico -- Identity. ; Machismo -- Mexico. ; Sex -- Mexico -- History. ; Sex role -- Mexico -- History. ; Men -- Mexico -- Social life and customs. ; Mexico -- Civilization.</t>
  </si>
  <si>
    <t>https://ebookcentral.proquest.com/lib/viva-active/detail.action?docID=1104395</t>
  </si>
  <si>
    <t>Women, Judging and the Judiciary : From Difference to Diversity</t>
  </si>
  <si>
    <t>Rackley, Erika</t>
  </si>
  <si>
    <t>Sex discrimination against women - Law and legislation - Wales</t>
  </si>
  <si>
    <t>https://ebookcentral.proquest.com/lib/viva-active/detail.action?docID=1104738</t>
  </si>
  <si>
    <t>Red Light Women of the Rocky Mountains</t>
  </si>
  <si>
    <t>MacKell, Jan;Noel, Thomas</t>
  </si>
  <si>
    <t>Tomography, Emission. ; Fluorine -- Diagnostic use.</t>
  </si>
  <si>
    <t>https://ebookcentral.proquest.com/lib/viva-active/detail.action?docID=1105299</t>
  </si>
  <si>
    <t>Looking Through Gender : Post-1980 British and Irish Drama</t>
  </si>
  <si>
    <t>Grassi, Samuele</t>
  </si>
  <si>
    <t>Gender identity in the theater -- Great Britain -- History -- 20th century. ; Gender identity in the theater -- Ireland -- History -- 20th century. ; Feminism and theater -- Great Britain -- History -- 20th century. ; Feminism and theater -- Ireland -- History -- 20th century. ; Homosexuality in the theater -- Great Britain -- History -- 20th century. ; Homosexuality in the theater -- Ireland -- History -- 20th century. ; Theater and society -- Great Britain -- History -- 20th century.</t>
  </si>
  <si>
    <t>https://ebookcentral.proquest.com/lib/viva-active/detail.action?docID=1107035</t>
  </si>
  <si>
    <t>Mating Intelligence Unleashed : The Role of the Mind in Sex, Dating, and Love</t>
  </si>
  <si>
    <t>Geher, Glenn;Kaufman, Scott Barry;Fisher, Helen</t>
  </si>
  <si>
    <t>Mate selection. ; Mate selection -- Psychological aspects. ; Man-woman relationships. ; Sex. ; Dating (Social customs) ; Love.</t>
  </si>
  <si>
    <t>https://ebookcentral.proquest.com/lib/viva-active/detail.action?docID=1107718</t>
  </si>
  <si>
    <t>Having Sex, Wanting Intimacy : Why Women Settle for One-Sided Relationships</t>
  </si>
  <si>
    <t>Weber, Jill P.</t>
  </si>
  <si>
    <t>Women - Sexual behavior</t>
  </si>
  <si>
    <t>https://ebookcentral.proquest.com/lib/viva-active/detail.action?docID=1108266</t>
  </si>
  <si>
    <t>AIDS Literature and Gay Identity : The Literature of Loss</t>
  </si>
  <si>
    <t>Routledge Studies in Twentieth-Century Literature Ser.</t>
  </si>
  <si>
    <t>Pearl, Monica B.</t>
  </si>
  <si>
    <t>AIDS (Disease) in literature. ; Gays' writings, American -- History and criticism. ; Loss (Psychology) in literature. ; Gay men -- Identity.</t>
  </si>
  <si>
    <t>https://ebookcentral.proquest.com/lib/viva-active/detail.action?docID=1108570</t>
  </si>
  <si>
    <t>What's Wrong with Homosexuality? : What's Wrong with Homosexuality?</t>
  </si>
  <si>
    <t>Philosophy in Action Ser.</t>
  </si>
  <si>
    <t>Corvino, John</t>
  </si>
  <si>
    <t>Homosexuality -- Moral and ethical aspects. ; Same-sex marriage -- Moral and ethical aspects.</t>
  </si>
  <si>
    <t>https://ebookcentral.proquest.com/lib/viva-active/detail.action?docID=1109652</t>
  </si>
  <si>
    <t>Global HIV Epidemics among Sex Workers</t>
  </si>
  <si>
    <t xml:space="preserve">Kerrigan, Deanna;Wirtz, Andrea;Semini, Iris;N'Jie, N'Della ;Stanciole, Anderson ;Butler, Jenny ;Oelrichs, Robert ;Beyer, Chris </t>
  </si>
  <si>
    <t>Health; Social Science; Medicine</t>
  </si>
  <si>
    <t>HIV infections -- Epidemiology. ; Prostitutes.</t>
  </si>
  <si>
    <t>https://ebookcentral.proquest.com/lib/viva-active/detail.action?docID=1109734</t>
  </si>
  <si>
    <t>Land of 10,000 Loves : A History of Queer Minnesota</t>
  </si>
  <si>
    <t>Van Cleve, Stewart</t>
  </si>
  <si>
    <t>Homosexuality -- Minnesota -- History. ; Gays -- Minnesota -- History. ; Gay culture -- Minnesota -- History.</t>
  </si>
  <si>
    <t>https://ebookcentral.proquest.com/lib/viva-active/detail.action?docID=1110051</t>
  </si>
  <si>
    <t>Finding the Woman Who Didn't Exist : The Curious Life of Gisèle d'Estoc</t>
  </si>
  <si>
    <t>Hawthorne, Melanie C.</t>
  </si>
  <si>
    <t>Estoc, Gisèle d', -- 1863-ca. 1906. ; Women authors, French -- 19th century -- Biography. ; Women sculptors -- France -- 19th century -- Biography. ; Bisexual women -- France -- Biography. ; Male impersonators -- Biography. ; Women anarchists -- France -- 19th century -- Biography.</t>
  </si>
  <si>
    <t>https://ebookcentral.proquest.com/lib/viva-active/detail.action?docID=1110055</t>
  </si>
  <si>
    <t>Body Geographic</t>
  </si>
  <si>
    <t>UNP - Nebraska Paperback</t>
  </si>
  <si>
    <t>American Lives</t>
  </si>
  <si>
    <t>Borich, Barrie Jean</t>
  </si>
  <si>
    <t>Borich, Barrie Jean, -- 1959- ; Borich, Barrie Jean, -- 1959- -- Childhood and youth. ; Authors, American -- 20th century -- Biography. ; Lesbian authors -- United States -- Biography. ; Self-perception in women. ; Women -- Sexual behavior -- Psychological aspects. ; Mind and body.</t>
  </si>
  <si>
    <t>https://ebookcentral.proquest.com/lib/viva-active/detail.action?docID=1110061</t>
  </si>
  <si>
    <t>Queer Others in Victorian Gothic : Transgressing Monstrosity</t>
  </si>
  <si>
    <t>Gothic Literary Studies</t>
  </si>
  <si>
    <t>Haefele-Thomas, Ardel</t>
  </si>
  <si>
    <t>Gothic fiction (Literary genre) -- History and criticism. ; Queer theory.</t>
  </si>
  <si>
    <t>https://ebookcentral.proquest.com/lib/viva-active/detail.action?docID=1111296</t>
  </si>
  <si>
    <t>Psychoanalytic Reflections on a Gender-Free Case : Into the Void</t>
  </si>
  <si>
    <t>Toronto, Ellen L. K.;Ainslie, Gemma;Donovan, Molly;Kelly, Maurine;Kieffer, Christine C.;McWilliams, Nancy</t>
  </si>
  <si>
    <t>Gender identity - Psychological aspects</t>
  </si>
  <si>
    <t>https://ebookcentral.proquest.com/lib/viva-active/detail.action?docID=1112386</t>
  </si>
  <si>
    <t>Searching for the New Black Man : Black Masculinity and Women's Bodies</t>
  </si>
  <si>
    <t>Margaret Walker Alexander Series in African American Studies</t>
  </si>
  <si>
    <t xml:space="preserve">Anthony, Ronda C. Henry;Henry Anthony, Ronda C </t>
  </si>
  <si>
    <t>American literature -- African American authors -- History and criticism. ; Femininity in literature. ; Human body in literature. ; Masculinity in literature.</t>
  </si>
  <si>
    <t>https://ebookcentral.proquest.com/lib/viva-active/detail.action?docID=1113453</t>
  </si>
  <si>
    <t>Out Here : Local and International Perspectives in Queer Studies</t>
  </si>
  <si>
    <t>Ferens, Dominika;Basiuk,  Tomasz;Sikora, Tomasz</t>
  </si>
  <si>
    <t>Homosexuality.</t>
  </si>
  <si>
    <t>https://ebookcentral.proquest.com/lib/viva-active/detail.action?docID=1114150</t>
  </si>
  <si>
    <t>Queer Identities / Political Realities</t>
  </si>
  <si>
    <t>Drushel, Bruce;German, Kathleen</t>
  </si>
  <si>
    <t>Homosexuality -- United States. ; Homosexuality -- Political aspects -- United States. ; Homosexuality -- United States -- Public opinion. ; Queer theory.</t>
  </si>
  <si>
    <t>https://ebookcentral.proquest.com/lib/viva-active/detail.action?docID=1114195</t>
  </si>
  <si>
    <t>Querying Difference in Theatre History</t>
  </si>
  <si>
    <t>Magelssen, Scott;Haugo, Ann</t>
  </si>
  <si>
    <t>Theater -- Historiography -- Congresses.</t>
  </si>
  <si>
    <t>https://ebookcentral.proquest.com/lib/viva-active/detail.action?docID=1114228</t>
  </si>
  <si>
    <t>ZONA NORTE : The Post-Structural Body of Erotic Dancers and Sex Workers in Tijuana, San Diego and Los Angeles</t>
  </si>
  <si>
    <t>Hemmingson, Michael</t>
  </si>
  <si>
    <t>Prostitution -- California -- San Diego -- Cross-cultural studies. ; Prostitution -- California -- Los Angeles -- Cross-cultural studies. ; Prostitution -- Mexico -- Tijuana (Baja California) -- Cross-cultural studies. ; Self -- Cross-cultural studies. ; Identity (Psychology) -- Cross-cultural studies.</t>
  </si>
  <si>
    <t>https://ebookcentral.proquest.com/lib/viva-active/detail.action?docID=1114355</t>
  </si>
  <si>
    <t>Women in the Portuguese Colonial Empire : The Theatre of Shadows</t>
  </si>
  <si>
    <t>Sarmento, Clara</t>
  </si>
  <si>
    <t>Women -- Portugal -- Colonies -- Social conditions. ; Portugal -- Colonies -- History.</t>
  </si>
  <si>
    <t>https://ebookcentral.proquest.com/lib/viva-active/detail.action?docID=1114473</t>
  </si>
  <si>
    <t>Presentations of the 29th Annual SW/Texas Regional Meeting of the Popular Culture and American Culture Association : Gender</t>
  </si>
  <si>
    <t>Teague, Gypsey Elaine</t>
  </si>
  <si>
    <t>Sex role in mass media.</t>
  </si>
  <si>
    <t>https://ebookcentral.proquest.com/lib/viva-active/detail.action?docID=1114497</t>
  </si>
  <si>
    <t>Women, Wellness, and the Media</t>
  </si>
  <si>
    <t>Wiley, Margaret C.</t>
  </si>
  <si>
    <t>Women -- Health and hygiene. ; Women in mass media. ; Health in mass media.</t>
  </si>
  <si>
    <t>https://ebookcentral.proquest.com/lib/viva-active/detail.action?docID=1114516</t>
  </si>
  <si>
    <t>Porno? Chic! : How Pornography Changed the World and Made It a Better Place</t>
  </si>
  <si>
    <t>McNair, Brian</t>
  </si>
  <si>
    <t>Sex in popular culture</t>
  </si>
  <si>
    <t>https://ebookcentral.proquest.com/lib/viva-active/detail.action?docID=1114629</t>
  </si>
  <si>
    <t>Shanghai Lalas : Female Tongzhi Communities and Politics in Urban China</t>
  </si>
  <si>
    <t>Kam, Lucetta Yip Lo</t>
  </si>
  <si>
    <t>Robotics. ; Robots.</t>
  </si>
  <si>
    <t>https://ebookcentral.proquest.com/lib/viva-active/detail.action?docID=1115450</t>
  </si>
  <si>
    <t>Gendered Media : Women, Men, and Identity Politics</t>
  </si>
  <si>
    <t>Critical Media Studies: Institutions, Politics, and Culture</t>
  </si>
  <si>
    <t>Ross, Karen</t>
  </si>
  <si>
    <t>Sex differences in mass media</t>
  </si>
  <si>
    <t>https://ebookcentral.proquest.com/lib/viva-active/detail.action?docID=1117186</t>
  </si>
  <si>
    <t>Mermaid and the Lobster Diver : Gender, Sexuality, and Money on the Miskito Coast</t>
  </si>
  <si>
    <t xml:space="preserve">Hobson Herlihy, Laura;Hobson Herlihy, Laura </t>
  </si>
  <si>
    <t>Electric utilities -- Government ownership -- United States. ; Electric utilities -- Privatization -- United States. ; Electric utilities -- United States.</t>
  </si>
  <si>
    <t>https://ebookcentral.proquest.com/lib/viva-active/detail.action?docID=1118965</t>
  </si>
  <si>
    <t>Women and Gender in the American West</t>
  </si>
  <si>
    <t>Brooks, James;Irwin, Mary</t>
  </si>
  <si>
    <t>Anthropogenic soils -- Amazon River Watershed. ; Soils -- Amazon River Watershed.</t>
  </si>
  <si>
    <t>https://ebookcentral.proquest.com/lib/viva-active/detail.action?docID=1118972</t>
  </si>
  <si>
    <t>Shield of the Weak : Feminism and the State in Uruguay, 1903-1933</t>
  </si>
  <si>
    <t>Ehrick, Christine</t>
  </si>
  <si>
    <t>Cancer -- Gene therapy. ; Tumors -- Gene therapy.</t>
  </si>
  <si>
    <t>https://ebookcentral.proquest.com/lib/viva-active/detail.action?docID=1119037</t>
  </si>
  <si>
    <t>Suppressed Memoirs of Mabel Dodge Luhan : Sex, Syphilis, and Psychoanalysis in the Making of Modern American Culture</t>
  </si>
  <si>
    <t xml:space="preserve">Rudnick, Lois Palken;Rudnick, Lois Palken </t>
  </si>
  <si>
    <t>Luhan, Mabel Dodge, -- 1879-1962 -- Diaries. ; Luhan, Mabel Dodge, -- 1879-1962 -- Sexual behavior. ; Luhan, Mabel Dodge, -- 1879-1962 -- Health. ; Luhan, Mabel Dodge, -- 1879-1962 -- Mental health. ; Women intellectuals -- United States -- Biography. ; Syphilis -- Patients -- United States -- Biography. ; Subculture -- United States -- History -- 20th century -- Sources.</t>
  </si>
  <si>
    <t>https://ebookcentral.proquest.com/lib/viva-active/detail.action?docID=1119040</t>
  </si>
  <si>
    <t>Plane Queer : Labor, Sexuality, and AIDS in the History of Male Flight Attendants</t>
  </si>
  <si>
    <t>Tiemeyer, Phil</t>
  </si>
  <si>
    <t>Flight attendants -- United States -- History. ; Flight attendants -- Labor unions -- United States. ; Gays -- Employment -- United States. ; Sexual orientation -- United States. ; Civil rights -- United States -- History.</t>
  </si>
  <si>
    <t>https://ebookcentral.proquest.com/lib/viva-active/detail.action?docID=1120970</t>
  </si>
  <si>
    <t>The Expression of Gender</t>
  </si>
  <si>
    <t>The Expression of Cognitive Categories (ECC) Ser.</t>
  </si>
  <si>
    <t>Corbett, Greville G.</t>
  </si>
  <si>
    <t>Grammar, Comparative and general -- Gender. ; Psycholinguistics.</t>
  </si>
  <si>
    <t>https://ebookcentral.proquest.com/lib/viva-active/detail.action?docID=1121623</t>
  </si>
  <si>
    <t>Principles of Transgender Medicine and Surgery</t>
  </si>
  <si>
    <t xml:space="preserve">Ettner, Randi;Monstrey, Stan;Coleman, Eli;Eyler, Evan </t>
  </si>
  <si>
    <t>Transgender people -- Health and hygiene. ; Transgender people -- Medical care. ; Transsexuals -- Surgery.</t>
  </si>
  <si>
    <t>https://ebookcentral.proquest.com/lib/viva-active/detail.action?docID=1122934</t>
  </si>
  <si>
    <t>Men, Homosexuality, and the Gods : An Exploration into the Religious Significance of Male Homosexuality in World Perspective</t>
  </si>
  <si>
    <t>Long, Ronald;Long, Ronald</t>
  </si>
  <si>
    <t>Male homosexuality -- Religious aspects. ; Masculinity -- Religious aspects.</t>
  </si>
  <si>
    <t>https://ebookcentral.proquest.com/lib/viva-active/detail.action?docID=1123153</t>
  </si>
  <si>
    <t>Athletes, Sexual Assault, and Trials by Media : Narrative Immunity</t>
  </si>
  <si>
    <t>Waterhouse-Watson, Deb</t>
  </si>
  <si>
    <t>Social Science; Sport &amp;amp; Recreation</t>
  </si>
  <si>
    <t>Soccer players - Sexual behavior - Australia</t>
  </si>
  <si>
    <t>https://ebookcentral.proquest.com/lib/viva-active/detail.action?docID=1125184</t>
  </si>
  <si>
    <t>Men Speak Out : Views on Gender, Sex, and Power</t>
  </si>
  <si>
    <t>Tarrant, Shira</t>
  </si>
  <si>
    <t>Sex role -- Philosophy. ; Feminist theory -- History. ; Sex differences (Psychology)</t>
  </si>
  <si>
    <t>https://ebookcentral.proquest.com/lib/viva-active/detail.action?docID=1125187</t>
  </si>
  <si>
    <t>Homoeroticism in Imperial China : A Sourcebook</t>
  </si>
  <si>
    <t>Stevenson, Mark;Wu, Cuncun</t>
  </si>
  <si>
    <t>Chinese literature -- History and criticism -- Sources. ; Homosexuality in literature. ; Homosexuality -- China -- History.</t>
  </si>
  <si>
    <t>https://ebookcentral.proquest.com/lib/viva-active/detail.action?docID=1125207</t>
  </si>
  <si>
    <t>Gender: the Key Concepts</t>
  </si>
  <si>
    <t>Routledge Key Guides</t>
  </si>
  <si>
    <t>Evans, Mary;Williams, Carolyn</t>
  </si>
  <si>
    <t>Women's studies. ; Sex role -- Study and teaching.</t>
  </si>
  <si>
    <t>https://ebookcentral.proquest.com/lib/viva-active/detail.action?docID=1125244</t>
  </si>
  <si>
    <t>Notions of Family : Intersectional Perspectives</t>
  </si>
  <si>
    <t>Kohlman, Marla H.;Krieg, Dana B.;Dickerson, Bette J.;Demos, Vasilikie P.;Segal, Marcia Texler</t>
  </si>
  <si>
    <t>Families.</t>
  </si>
  <si>
    <t>https://ebookcentral.proquest.com/lib/viva-active/detail.action?docID=1126616</t>
  </si>
  <si>
    <t>With the Hand : A Cultural History of Masturbation</t>
  </si>
  <si>
    <t>van Driel, Mels;Vincent, Paul</t>
  </si>
  <si>
    <t>Masturbation.</t>
  </si>
  <si>
    <t>https://ebookcentral.proquest.com/lib/viva-active/detail.action?docID=1127656</t>
  </si>
  <si>
    <t>Same-Sex Marriage in Latin America : Promise and Resistance</t>
  </si>
  <si>
    <t>Pierceson, Jason;Piatti-Crocker, Adriana;Schulenberg, Shawn;Andía, María Gracia;Bonilla, Daniel;Corral, Margarita;Lodola, Germán;Lozano, Genaro;Sempol, Diego</t>
  </si>
  <si>
    <t>Civil unions - Law and legislation - Latin America</t>
  </si>
  <si>
    <t>https://ebookcentral.proquest.com/lib/viva-active/detail.action?docID=1127701</t>
  </si>
  <si>
    <t>Sexidemic : A Cultural History of Sex in America</t>
  </si>
  <si>
    <t>Samuel, Lawrence R.</t>
  </si>
  <si>
    <t>Sex - United States - History</t>
  </si>
  <si>
    <t>https://ebookcentral.proquest.com/lib/viva-active/detail.action?docID=1127729</t>
  </si>
  <si>
    <t>Gender, National Security, and Counter-Terrorism : Human Rights Perspectives</t>
  </si>
  <si>
    <t>Routledge Research in Terrorism and the Law Ser.</t>
  </si>
  <si>
    <t>Satterthwaite, Margaret L.;Huckerby, Jayne;Huckerby, Jayne C.</t>
  </si>
  <si>
    <t>Terrorism - Prevention - Law and legislation</t>
  </si>
  <si>
    <t>https://ebookcentral.proquest.com/lib/viva-active/detail.action?docID=1128286</t>
  </si>
  <si>
    <t>Gender in Late Medieval and Early Modern Europe</t>
  </si>
  <si>
    <t>Muravyeva, Marianna;Toivo, Raisa Maria</t>
  </si>
  <si>
    <t>Gender identity -- Europe -- History. ; Women -- Europe -- History. ; Men -- Europe -- History.</t>
  </si>
  <si>
    <t>https://ebookcentral.proquest.com/lib/viva-active/detail.action?docID=1128302</t>
  </si>
  <si>
    <t>Bad Boys, Bad Men : Confronting Antisocial Personality Disorder (Sociopathy)</t>
  </si>
  <si>
    <t>Black, Donald W.</t>
  </si>
  <si>
    <t>Antisocial personality disorders -- Treatment. ; Behavior modification. ; Men -- Mental health.</t>
  </si>
  <si>
    <t>https://ebookcentral.proquest.com/lib/viva-active/detail.action?docID=1132273</t>
  </si>
  <si>
    <t>Gender Scripts in Medicine and Narrative</t>
  </si>
  <si>
    <t>Block, Marcelline;Laflen, Angela</t>
  </si>
  <si>
    <t>Medicine in literature. ; Medicine in motion pictures. ; Sex role in literature. ; Sex role in motion pictures. ; Social medicine. ; Sexism in medicine.</t>
  </si>
  <si>
    <t>https://ebookcentral.proquest.com/lib/viva-active/detail.action?docID=1133040</t>
  </si>
  <si>
    <t>Tribades, Tommies and Transgressives; History of Sexualities : Volume I</t>
  </si>
  <si>
    <t>McAuliffe, Mary;Tiernan, Sonja</t>
  </si>
  <si>
    <t>Lesbianism -- History -- Congresses. ; Women -- Sexual behavior -- History -- Congresses.</t>
  </si>
  <si>
    <t>https://ebookcentral.proquest.com/lib/viva-active/detail.action?docID=1133096</t>
  </si>
  <si>
    <t>Out of the Ordinary : Representations of LGBT Lives</t>
  </si>
  <si>
    <t>Rivers, Ian;Ward, Richard</t>
  </si>
  <si>
    <t>Sexual minorities -- Identity. ; Sexual minorities -- Social conditions.</t>
  </si>
  <si>
    <t>https://ebookcentral.proquest.com/lib/viva-active/detail.action?docID=1133102</t>
  </si>
  <si>
    <t>Long Live the King : A Genealogy of Performative Genders</t>
  </si>
  <si>
    <t>Escudero-Alías, Maite</t>
  </si>
  <si>
    <t>Male impersonators. ; Masculinity in popular culture. ; Queer theory.</t>
  </si>
  <si>
    <t>https://ebookcentral.proquest.com/lib/viva-active/detail.action?docID=1133151</t>
  </si>
  <si>
    <t>Gender and Victorian Reform</t>
  </si>
  <si>
    <t>Rose, Anita</t>
  </si>
  <si>
    <t>Women -- Great Britain -- Social conditions -- 19th century. ; Women in public life -- Great Britain -- History -- 19th century. ; Women in literature.</t>
  </si>
  <si>
    <t>https://ebookcentral.proquest.com/lib/viva-active/detail.action?docID=1133224</t>
  </si>
  <si>
    <t>Gender Construction and Negotiation in the Chinese EFL Classroom</t>
  </si>
  <si>
    <t>Zhao, Huajing</t>
  </si>
  <si>
    <t>English language -- Study and teaching -- Chinese speakers. ; English language -- Social aspects -- China. ; Teenagers -- China. ; Gender identity -- China.</t>
  </si>
  <si>
    <t>https://ebookcentral.proquest.com/lib/viva-active/detail.action?docID=1133255</t>
  </si>
  <si>
    <t>Masculinities in Contemporary Africa</t>
  </si>
  <si>
    <t>CODESRIA (Conseil pour le Developpement de la Recherche Economique et Sociale en Afrique)</t>
  </si>
  <si>
    <t>Uchendu, Egodi</t>
  </si>
  <si>
    <t>Men -- Africa. ; Masculinity -- Africa. ; Sex role -- Africa.</t>
  </si>
  <si>
    <t>https://ebookcentral.proquest.com/lib/viva-active/detail.action?docID=1135302</t>
  </si>
  <si>
    <t>Handbooks for Educators and Parents : Gender and Literacy - A Handbook for Educators and Parents</t>
  </si>
  <si>
    <t>Handbooks for Educators and Parents Ser.</t>
  </si>
  <si>
    <t>Krasny, Karen A.</t>
  </si>
  <si>
    <t>Sex discrimination in education</t>
  </si>
  <si>
    <t>https://ebookcentral.proquest.com/lib/viva-active/detail.action?docID=1135419</t>
  </si>
  <si>
    <t>Gender and Genre in Sports Documentaries : Critical Essays</t>
  </si>
  <si>
    <t>Ingle, Zachary;Sutera, David M.</t>
  </si>
  <si>
    <t>Sports in motion pictures</t>
  </si>
  <si>
    <t>https://ebookcentral.proquest.com/lib/viva-active/detail.action?docID=1137728</t>
  </si>
  <si>
    <t>Doing the Best I Can : Fatherhood in the Inner City</t>
  </si>
  <si>
    <t>Edin, Kathryn;Nelson, Timothy J.</t>
  </si>
  <si>
    <t>Fatherhood -- United States. ; Poor children -- United States. ; Single fathers -- United States. ; Unmarried fathers -- United States.</t>
  </si>
  <si>
    <t>https://ebookcentral.proquest.com/lib/viva-active/detail.action?docID=1138204</t>
  </si>
  <si>
    <t>Making Citizens in Africa : Ethnicity, Gender, and National Identity in Ethiopia</t>
  </si>
  <si>
    <t>African Studies</t>
  </si>
  <si>
    <t>Smith, Lahra</t>
  </si>
  <si>
    <t>Citizenship -- Social aspects -- Ethiopia. ; Political participation -- Social aspects -- Ethiopia. ; Language policy -- Ethiopia. ; National characteristics, Ethiopian. ; Ethiopia -- Politics and government -- 1991-</t>
  </si>
  <si>
    <t>https://ebookcentral.proquest.com/lib/viva-active/detail.action?docID=1139622</t>
  </si>
  <si>
    <t>Sacrifice and Gender in Biblical Law</t>
  </si>
  <si>
    <t>Ruane, Nicole J.</t>
  </si>
  <si>
    <t>Bible. -- Old Testament -- Criticism, interpretation, etc. ; Sacrifice -- Biblical teaching. ; Sex role -- Biblical teaching. ; Gender identity in the Bible. ; Animal sacrifice.</t>
  </si>
  <si>
    <t>https://ebookcentral.proquest.com/lib/viva-active/detail.action?docID=1139651</t>
  </si>
  <si>
    <t>Sex in Peace Operations</t>
  </si>
  <si>
    <t>Simm, Gabrielle</t>
  </si>
  <si>
    <t>United Nations -- Peacekeeping forces. ; United Nations -- Privileges and immunities. ; Sex -- Social aspects. ; Peacekeeping forces -- Moral and ethical aspects. ; International agencies -- Rules and practice. ; Liability (Law) ; Sex and law.</t>
  </si>
  <si>
    <t>https://ebookcentral.proquest.com/lib/viva-active/detail.action?docID=1139720</t>
  </si>
  <si>
    <t>Patriarchy in East Asia : A Comparative Sociology of Gender</t>
  </si>
  <si>
    <t>The Intimate and the Public in Asian and Global Perspectives Ser.</t>
  </si>
  <si>
    <t>Sechiyama, Kaku</t>
  </si>
  <si>
    <t>Patriarchy -- East Asia. ; Families -- East Asia. ; Social discrimination -- East Asia. ; Married women -- East Asia.</t>
  </si>
  <si>
    <t>https://ebookcentral.proquest.com/lib/viva-active/detail.action?docID=1143377</t>
  </si>
  <si>
    <t>Gender, Masculinities and Lifelong Learning</t>
  </si>
  <si>
    <t>Bowl, Marion;Tobias, Robert;Leahy, Jennifer;Ferguson, Graeme;Gage, Jeffrey</t>
  </si>
  <si>
    <t>EDUCATION / Adult &amp; Continuing Education</t>
  </si>
  <si>
    <t>https://ebookcentral.proquest.com/lib/viva-active/detail.action?docID=1143702</t>
  </si>
  <si>
    <t>The Social Meaning of Children and Fertility Change in Europe</t>
  </si>
  <si>
    <t>Studies in European Sociology Ser.</t>
  </si>
  <si>
    <t>Ellingsaeter, Anne Lise;Jensen, An-Magritt;Lie, Merete;Lien, Merete</t>
  </si>
  <si>
    <t>Children - Europe</t>
  </si>
  <si>
    <t>https://ebookcentral.proquest.com/lib/viva-active/detail.action?docID=1143815</t>
  </si>
  <si>
    <t>Gender and Power in Contemporary Spirituality : Ethnographic Approaches</t>
  </si>
  <si>
    <t>Routledge Studies in Religion Ser.</t>
  </si>
  <si>
    <t>Fedele, Anna;Knibbe, Kim</t>
  </si>
  <si>
    <t>Sex role -- Religious aspects. ; Power (Social sciences) ; Spirituality. ; Spiritual life. ; Religions. ; Religion.</t>
  </si>
  <si>
    <t>https://ebookcentral.proquest.com/lib/viva-active/detail.action?docID=1143817</t>
  </si>
  <si>
    <t>Gender and Language in Sub-Saharan Africa : Tradition, Struggle and Change</t>
  </si>
  <si>
    <t>IMPACT: Studies in Language and Society</t>
  </si>
  <si>
    <t xml:space="preserve">Atanga, Lilian Lem;Ellece, Sibonile Edith;Litosseliti, Lia;Sunderland, Jane </t>
  </si>
  <si>
    <t>Multimedia systems. ; Object-oriented programming (Computer science) -- Congresses.</t>
  </si>
  <si>
    <t>https://ebookcentral.proquest.com/lib/viva-active/detail.action?docID=1144137</t>
  </si>
  <si>
    <t>Queer Males in Contemporary Cinema : Becoming Visible</t>
  </si>
  <si>
    <t>Hart, Kylo-Patrick R.</t>
  </si>
  <si>
    <t>Gays in motion pictures</t>
  </si>
  <si>
    <t>https://ebookcentral.proquest.com/lib/viva-active/detail.action?docID=1157596</t>
  </si>
  <si>
    <t>Gender and the European Labour Market</t>
  </si>
  <si>
    <t>Routledge Studies in the European Economy Ser.</t>
  </si>
  <si>
    <t>Bettio, Francesca;Plantenga, Janneke;Smith, Mark</t>
  </si>
  <si>
    <t>Women -- Employment -- Europe. ; Sexual division of labor -- Europe. ; Sex discrimination in employment -- Europe. ; Labor market -- Europe. ; Labor policy -- Europe. ; Manpower policy -- Europe.</t>
  </si>
  <si>
    <t>https://ebookcentral.proquest.com/lib/viva-active/detail.action?docID=1157753</t>
  </si>
  <si>
    <t>The Sexual History of the Global South : Sexual Politics in Africa, Asia and Latin America</t>
  </si>
  <si>
    <t>Wieringa, Saskia;Sívori, Horacio</t>
  </si>
  <si>
    <t>Sex -- Political aspects. ; Postcolonialism -- Africa. ; Postcolonialism -- Asia. ; Postcolonialism -- Latin America.</t>
  </si>
  <si>
    <t>https://ebookcentral.proquest.com/lib/viva-active/detail.action?docID=1160738</t>
  </si>
  <si>
    <t>Gender and Power Relations in Nigeria</t>
  </si>
  <si>
    <t>Ako-Nai, Ronke I.;Adesola, Funso;David, I. D.;Ologunde, A. O.;Oladoyin, Anthony M.;Coker, Adesina;Abiodun Oni, Michael;Oluseye Iyanda, Rachael;Modupe, Adu F.;Erhun, Mercy Onaodowan</t>
  </si>
  <si>
    <t>Sexism - Nigeria</t>
  </si>
  <si>
    <t>https://ebookcentral.proquest.com/lib/viva-active/detail.action?docID=1160817</t>
  </si>
  <si>
    <t>Sovereign Feminine : Music and Gender in Eighteenth-Century Germany</t>
  </si>
  <si>
    <t>Head, Matthew</t>
  </si>
  <si>
    <t>Music - Social aspects - Germany - History - 18th century</t>
  </si>
  <si>
    <t>https://ebookcentral.proquest.com/lib/viva-active/detail.action?docID=1163753</t>
  </si>
  <si>
    <t>Gendering Bodies</t>
  </si>
  <si>
    <t>Crawley, Sara L.;Foley, Lara J.;Shehan, Constance L.</t>
  </si>
  <si>
    <t>Sex - Social aspects - United States</t>
  </si>
  <si>
    <t>https://ebookcentral.proquest.com/lib/viva-active/detail.action?docID=1164502</t>
  </si>
  <si>
    <t>I'd Rather Be Dead Than Be a Girl : Implications of Whitehead, Whorf, and Piaget for Inclusive Language in Religious Education</t>
  </si>
  <si>
    <t>UPA</t>
  </si>
  <si>
    <t>Sweeney, John Marcus</t>
  </si>
  <si>
    <t>Language/Linguistics; Religion</t>
  </si>
  <si>
    <t>Piaget, Jean, -- 1896-1980. ; Whitehead, Alfred North, -- 1861-1947. ; Whorf, Benjamin Lee, -- 1897-1941. ; Nonsexist language. ; Process philosophy. ; Religious education.</t>
  </si>
  <si>
    <t>https://ebookcentral.proquest.com/lib/viva-active/detail.action?docID=1164505</t>
  </si>
  <si>
    <t>Coming Out to the Mainstream : New Queer Cinema in the 21st Century</t>
  </si>
  <si>
    <t>Juett, JoAnne C.;Jones, David</t>
  </si>
  <si>
    <t>Homosexuality in motion pictures. ; Gays in motion pictures. ; Motion pictures -- History -- 21st century.</t>
  </si>
  <si>
    <t>https://ebookcentral.proquest.com/lib/viva-active/detail.action?docID=1165571</t>
  </si>
  <si>
    <t>A Queer Eye for Capitalism : The Commodification of Sexuality in American Television</t>
  </si>
  <si>
    <t>Vargas, Yarma Velázquez</t>
  </si>
  <si>
    <t>Queer eye for the straight guy (Television program) ; Gay men on television. ; Homosexuality on television. ; Reality television programs -- United States -- History and criticism. ; Television and gays -- United States.</t>
  </si>
  <si>
    <t>https://ebookcentral.proquest.com/lib/viva-active/detail.action?docID=1165801</t>
  </si>
  <si>
    <t>Whistling Women : A Study of the Lives of Older Lesbians</t>
  </si>
  <si>
    <t>Garner, J. Dianne;Claassen, Cheryl</t>
  </si>
  <si>
    <t>Strategic planning</t>
  </si>
  <si>
    <t>https://ebookcentral.proquest.com/lib/viva-active/detail.action?docID=1166428</t>
  </si>
  <si>
    <t>Homosexuality and the European Court of Human Rights</t>
  </si>
  <si>
    <t>Johnson, Paul</t>
  </si>
  <si>
    <t>Homosexuality - Law and legislation - Europe</t>
  </si>
  <si>
    <t>https://ebookcentral.proquest.com/lib/viva-active/detail.action?docID=1166452</t>
  </si>
  <si>
    <t>The B Word : Bisexuality in Contemporary Film and Television</t>
  </si>
  <si>
    <t>San Filippo, Maria</t>
  </si>
  <si>
    <t>Bisexuality on television</t>
  </si>
  <si>
    <t>https://ebookcentral.proquest.com/lib/viva-active/detail.action?docID=1169371</t>
  </si>
  <si>
    <t>Changing Gay Male Identities</t>
  </si>
  <si>
    <t>Cooper, Andrew J.</t>
  </si>
  <si>
    <t>Gay men - Identity</t>
  </si>
  <si>
    <t>https://ebookcentral.proquest.com/lib/viva-active/detail.action?docID=1170295</t>
  </si>
  <si>
    <t>Gender, Modernity and Male Migrant Workers in China : Becoming a 'Modern' Man</t>
  </si>
  <si>
    <t>Lin, Xiaodong</t>
  </si>
  <si>
    <t>Male employees - China - History</t>
  </si>
  <si>
    <t>https://ebookcentral.proquest.com/lib/viva-active/detail.action?docID=1170350</t>
  </si>
  <si>
    <t>Domestic Violence : Methodologies in Dialogue</t>
  </si>
  <si>
    <t>New England Gender, Crime &amp; Law Ser.</t>
  </si>
  <si>
    <t>Raghavan, Chitra;Cohen, Shuki J.</t>
  </si>
  <si>
    <t>Family violence. ; Intimate partner violence. ; Marital violence.</t>
  </si>
  <si>
    <t>https://ebookcentral.proquest.com/lib/viva-active/detail.action?docID=1170391</t>
  </si>
  <si>
    <t>Male Peer Support and Violence Against Women : The History and Verification of a Theory</t>
  </si>
  <si>
    <t>DeKeseredy, Walter S.;Schwartz, Martin D.</t>
  </si>
  <si>
    <t>Abused women. ; Intimate partner violence. ; Peer pressure. ; Violence in men.</t>
  </si>
  <si>
    <t>https://ebookcentral.proquest.com/lib/viva-active/detail.action?docID=1170392</t>
  </si>
  <si>
    <t>Street Sex Workers' Discourse : Realizing Material Change Through Agential Choice</t>
  </si>
  <si>
    <t>McCracken, Jill</t>
  </si>
  <si>
    <t>Rhetoric - Social aspects</t>
  </si>
  <si>
    <t>https://ebookcentral.proquest.com/lib/viva-active/detail.action?docID=1172895</t>
  </si>
  <si>
    <t>Creating Safe and Supportive Learning Environments : A Guide for Working with Lesbian, Gay, Bisexual, Transgender, and Questioning Youth and Families</t>
  </si>
  <si>
    <t>Fisher, Emily S.;Komosa-Hawkins, Karen</t>
  </si>
  <si>
    <t>Sexual minority parents</t>
  </si>
  <si>
    <t>https://ebookcentral.proquest.com/lib/viva-active/detail.action?docID=1172913</t>
  </si>
  <si>
    <t>Aging Men, Masculinities and Modern Medicine</t>
  </si>
  <si>
    <t>Kampf, Antje;Marshall, Barbara L.;Petersen, Alan</t>
  </si>
  <si>
    <t>Older men - Health and hygiene</t>
  </si>
  <si>
    <t>https://ebookcentral.proquest.com/lib/viva-active/detail.action?docID=1181016</t>
  </si>
  <si>
    <t>Sex Offenders: Punish, Help, Change or Control?</t>
  </si>
  <si>
    <t>Routledge Frontiers of Criminal Justice Ser.</t>
  </si>
  <si>
    <t>Brayford, Jo;Cowe, Francis;Deering, John</t>
  </si>
  <si>
    <t>SOCIAL SCIENCE / Criminology</t>
  </si>
  <si>
    <t>https://ebookcentral.proquest.com/lib/viva-active/detail.action?docID=1181086</t>
  </si>
  <si>
    <t>Studying Gender in Classical Antiquity</t>
  </si>
  <si>
    <t>Key Themes in Ancient History</t>
  </si>
  <si>
    <t>Foxhall, Lin</t>
  </si>
  <si>
    <t>Classical antiquities. ; Gender identity -- Greece. ; Gender identity -- Rome. ; Sex role -- Greece -- History. ; Sex role -- Rome -- History. ; Greece -- Civilization. ; Rome -- Civilization.</t>
  </si>
  <si>
    <t>https://ebookcentral.proquest.com/lib/viva-active/detail.action?docID=1182922</t>
  </si>
  <si>
    <t>The Rise of Gay Rights and the Fall of the British Empire : Liberal Resistance and the Bloomsbury Group</t>
  </si>
  <si>
    <t>Richards, David A. J.</t>
  </si>
  <si>
    <t>Gay rights. ; Gay rights -- Great Britain. ; Patriarchy. ; Democracy.</t>
  </si>
  <si>
    <t>https://ebookcentral.proquest.com/lib/viva-active/detail.action?docID=1182994</t>
  </si>
  <si>
    <t>Fictions of Adolescent Carnality : Sexy Sinners and Delinquent Deviants</t>
  </si>
  <si>
    <t>Children's Literature, Culture, and Cognition</t>
  </si>
  <si>
    <t>Kokkola, Lydia</t>
  </si>
  <si>
    <t>Young adult literature, American -- History and criticism. ; Sex role in literature. ; Sex in literature. ; Teenagers -- Books and reading.</t>
  </si>
  <si>
    <t>https://ebookcentral.proquest.com/lib/viva-active/detail.action?docID=1186389</t>
  </si>
  <si>
    <t>Feminist, Queer, Crip</t>
  </si>
  <si>
    <t>Kafer, Alison</t>
  </si>
  <si>
    <t>Disability studies</t>
  </si>
  <si>
    <t>https://ebookcentral.proquest.com/lib/viva-active/detail.action?docID=1189107</t>
  </si>
  <si>
    <t>On Norms and Agency : Conversations about Gender Equality with Women and Men in 20 Countries</t>
  </si>
  <si>
    <t>Muñoz Boudet, Ana María;Petesch, Patti;Turk, Carolyn</t>
  </si>
  <si>
    <t>Sex role. ; Sex discrimination against women. ; Women's rights.</t>
  </si>
  <si>
    <t>https://ebookcentral.proquest.com/lib/viva-active/detail.action?docID=1190820</t>
  </si>
  <si>
    <t>Camp Sites : Sex, Politics, and Academic Style in Postwar America</t>
  </si>
  <si>
    <t>Post*45 Ser.</t>
  </si>
  <si>
    <t>Trask, Michael</t>
  </si>
  <si>
    <t>American literature -- 20th century -- History and criticism. ; Camp (Style) -- United States -- History -- 20th century. ; Homosexuality and literature -- United States -- History -- 20th century. ; Literature and society -- United States -- History -- 20th century. ; Politics and culture -- United States -- History -- 20th century. ; Politics and literature -- United States -- History -- 20th century. ; Universities and colleges -- Political aspects -- United States -- History -- 20th century.</t>
  </si>
  <si>
    <t>https://ebookcentral.proquest.com/lib/viva-active/detail.action?docID=1191291</t>
  </si>
  <si>
    <t>Write in Style : A Guide to Good English</t>
  </si>
  <si>
    <t>Palmer, Richard</t>
  </si>
  <si>
    <t>Written English</t>
  </si>
  <si>
    <t>https://ebookcentral.proquest.com/lib/viva-active/detail.action?docID=1195821</t>
  </si>
  <si>
    <t>Sexual Deceit : The Ethics of Passing</t>
  </si>
  <si>
    <t>Harrison, Kelby</t>
  </si>
  <si>
    <t>Gays - Identity</t>
  </si>
  <si>
    <t>https://ebookcentral.proquest.com/lib/viva-active/detail.action?docID=1203905</t>
  </si>
  <si>
    <t>Marrying Kind? : Debating Same-Sex Marriage within the Lesbian and Gay Movement</t>
  </si>
  <si>
    <t>Bernstein, Mary;Taylor, Verta</t>
  </si>
  <si>
    <t>Franklin, Benjamin, -- 1706-1790 -- Will. ; Microfinance -- United States -- History. ; Small business -- United States -- Finance -- History.</t>
  </si>
  <si>
    <t>https://ebookcentral.proquest.com/lib/viva-active/detail.action?docID=1204685</t>
  </si>
  <si>
    <t>Gendered Identities : Criticizing Patriarchy in Turkey</t>
  </si>
  <si>
    <t>Özmen, Fazilet Ahu;Akman, Canan Aslan;Özgür Dönmez, Rasim;Irtis, Verda;Goularas, Gökçe Bayindir;Konak, Nahide;Cürül, Burçak;Yalur, Tolga;Durusoy, Serap</t>
  </si>
  <si>
    <t>Patriarchy - Political aspects - Turkey</t>
  </si>
  <si>
    <t>https://ebookcentral.proquest.com/lib/viva-active/detail.action?docID=1209082</t>
  </si>
  <si>
    <t>Storytelling in Management Practice : Dynamics and Implications</t>
  </si>
  <si>
    <t>Reissner, Stefanie;Pagan, Victoria</t>
  </si>
  <si>
    <t>Communication in management. ; Communication in organizations.</t>
  </si>
  <si>
    <t>https://ebookcentral.proquest.com/lib/viva-active/detail.action?docID=1209539</t>
  </si>
  <si>
    <t>Media, Religion and Gender : Key Issues and New Challenges</t>
  </si>
  <si>
    <t>Media, Religion and Culture Ser.</t>
  </si>
  <si>
    <t>Lövheim, Mia</t>
  </si>
  <si>
    <t>Mass media in religion. ; Mass media -- Religious aspects. ; Women and religion. ; Sex role -- Religious aspects. ; Sex role. ; Mass media. ; Religion.</t>
  </si>
  <si>
    <t>https://ebookcentral.proquest.com/lib/viva-active/detail.action?docID=1209549</t>
  </si>
  <si>
    <t>Fleeing Homophobia : Sexual Orientation, Gender Identity and Asylum</t>
  </si>
  <si>
    <t>Spijkerboer, Thomas;Spijkerboer, Thomas</t>
  </si>
  <si>
    <t>Sexual minorities -- Legal status, laws, etc. -- Europe. ; Asylum, Right of -- Europe. ; Refugees -- Legal status, laws, etc. -- Europe.</t>
  </si>
  <si>
    <t>https://ebookcentral.proquest.com/lib/viva-active/detail.action?docID=1209550</t>
  </si>
  <si>
    <t>The Materiality of Language : Gender, Politics, and the University</t>
  </si>
  <si>
    <t>Bleich, David</t>
  </si>
  <si>
    <t>Language and languages -- Philosophy. ; Rhetoric. ; Academic language. ; Colloquial language. ; Language and languages -- Political aspects. ; Language and languages -- Sex differences.</t>
  </si>
  <si>
    <t>https://ebookcentral.proquest.com/lib/viva-active/detail.action?docID=1211182</t>
  </si>
  <si>
    <t>Gender, Sexuality and Reproduction in Evolutionary Narratives</t>
  </si>
  <si>
    <t>Transformations Ser.</t>
  </si>
  <si>
    <t>Oikkonen, Venla</t>
  </si>
  <si>
    <t>Sex differences</t>
  </si>
  <si>
    <t>https://ebookcentral.proquest.com/lib/viva-active/detail.action?docID=1211702</t>
  </si>
  <si>
    <t>Before Wilde : Sex Between Men in Britain_s Age of Reform</t>
  </si>
  <si>
    <t>Upchurch, Charles</t>
  </si>
  <si>
    <t>Sex - Great Britain - History - 19th century</t>
  </si>
  <si>
    <t>https://ebookcentral.proquest.com/lib/viva-active/detail.action?docID=1215500</t>
  </si>
  <si>
    <t>Women, Sexuality and the Political Power of Pleasure : Sex, Gender and Empowerment</t>
  </si>
  <si>
    <t>Feminisms and Development</t>
  </si>
  <si>
    <t>Jolly, Susie;Cornwall, Andrea;Hawkins, Kate</t>
  </si>
  <si>
    <t>Women -- Sexual behavior -- Developing countries. ; Sex.</t>
  </si>
  <si>
    <t>https://ebookcentral.proquest.com/lib/viva-active/detail.action?docID=1218805</t>
  </si>
  <si>
    <t>Education and Masculinities : Social, Cultural and Global Transformations</t>
  </si>
  <si>
    <t>Foundations and Futures of Education Ser.</t>
  </si>
  <si>
    <t>Haywood, Chris;Mac an Ghaill, Mairtin</t>
  </si>
  <si>
    <t>EDUCATION / Research</t>
  </si>
  <si>
    <t>https://ebookcentral.proquest.com/lib/viva-active/detail.action?docID=1221457</t>
  </si>
  <si>
    <t>Technology, Gender and History in Imperial China : Great Transformations Reconsidered</t>
  </si>
  <si>
    <t>Asia's Transformations/Critical Asian Scholarship Ser.</t>
  </si>
  <si>
    <t>Bray, Francesca</t>
  </si>
  <si>
    <t>Social Science; Engineering; Engineering: General</t>
  </si>
  <si>
    <t>Technological innovations - China - History</t>
  </si>
  <si>
    <t>https://ebookcentral.proquest.com/lib/viva-active/detail.action?docID=1221509</t>
  </si>
  <si>
    <t>Race and Gender in the Classroom : Teachers, Privilege, and Enduring Social Inequalities</t>
  </si>
  <si>
    <t>Stoll, Laurie Cooper;Embrick, David G.</t>
  </si>
  <si>
    <t>Critical pedagogy -- United States. ; Education -- Social aspects -- United States. ; Feminism and education -- United States. ; Racism in education -- United States. ; Educational equalization -- United States.</t>
  </si>
  <si>
    <t>https://ebookcentral.proquest.com/lib/viva-active/detail.action?docID=1222028</t>
  </si>
  <si>
    <t>Contesting Constructed Indian-ness : The Intersection of the Frontier, Masculinity, and Whiteness in Native American Mascot Representations</t>
  </si>
  <si>
    <t>Taylor, Michael</t>
  </si>
  <si>
    <t>Sports team mascots - Social aspects - United States</t>
  </si>
  <si>
    <t>https://ebookcentral.proquest.com/lib/viva-active/detail.action?docID=1222030</t>
  </si>
  <si>
    <t>Gender and Islam in Southeast Asia : Women's Rights Movements, Religious Resurgence and Local Traditions</t>
  </si>
  <si>
    <t>Schroeter, Susanne</t>
  </si>
  <si>
    <t>Muslim women -- Southeast Asia. ; Women's rights -- Southeast Asia.</t>
  </si>
  <si>
    <t>https://ebookcentral.proquest.com/lib/viva-active/detail.action?docID=1224299</t>
  </si>
  <si>
    <t>My New Gender Workbook : A Step-By-Step Guide to Achieving World Peace Through Gender Anarchy and Sex Positivity</t>
  </si>
  <si>
    <t>Bornstein, Kate</t>
  </si>
  <si>
    <t>Gender identity. ; Sex (Psychology)</t>
  </si>
  <si>
    <t>https://ebookcentral.proquest.com/lib/viva-active/detail.action?docID=1244600</t>
  </si>
  <si>
    <t>Roman Literature, Gender and Reception : Domina Illustris</t>
  </si>
  <si>
    <t>Routledge Monographs in Classical Studies</t>
  </si>
  <si>
    <t>Lateiner, Donald;Gold, Barbara K.;Perkins, Judith</t>
  </si>
  <si>
    <t>History; Literature</t>
  </si>
  <si>
    <t>Christian martyrs.</t>
  </si>
  <si>
    <t>https://ebookcentral.proquest.com/lib/viva-active/detail.action?docID=1244880</t>
  </si>
  <si>
    <t>Sex, Love and Money in Cambodia : Professional Girlfriends and Transactional Relationships</t>
  </si>
  <si>
    <t>The Modern Anthropology of Southeast Asia Ser.</t>
  </si>
  <si>
    <t>Hoefinger, Heidi</t>
  </si>
  <si>
    <t>Interpersonal relations - Cambodia</t>
  </si>
  <si>
    <t>https://ebookcentral.proquest.com/lib/viva-active/detail.action?docID=1244891</t>
  </si>
  <si>
    <t>Amy Lowell Anew : A Biography</t>
  </si>
  <si>
    <t>Rollyson, Carl</t>
  </si>
  <si>
    <t>Lowell, Amy, -- 1874-1925. ; Poets, American -- 20th century -- Biography. ; Women and literature -- United States -- History -- 20th century.</t>
  </si>
  <si>
    <t>https://ebookcentral.proquest.com/lib/viva-active/detail.action?docID=1246206</t>
  </si>
  <si>
    <t>Sexuality and Social Justice in Africa : Rethinking Homophobia and Forging Resistance</t>
  </si>
  <si>
    <t>African Arguments</t>
  </si>
  <si>
    <t>Epprecht, Marc</t>
  </si>
  <si>
    <t>Social justice -- Africa. ; Homophobia -- Africa.</t>
  </si>
  <si>
    <t>https://ebookcentral.proquest.com/lib/viva-active/detail.action?docID=1272811</t>
  </si>
  <si>
    <t>Courthouse Democracy and Minority Rights : Same-Sex Marriage in the States</t>
  </si>
  <si>
    <t>Hume, Robert J.</t>
  </si>
  <si>
    <t>Same-sex marriage -- Law and legislation -- United States -- States. ; Political questions and judicial power -- United States -- States. ; Constitutional law -- United States -- States.</t>
  </si>
  <si>
    <t>https://ebookcentral.proquest.com/lib/viva-active/detail.action?docID=1274304</t>
  </si>
  <si>
    <t>End of the Homosexual?</t>
  </si>
  <si>
    <t>University of Queensland Press</t>
  </si>
  <si>
    <t>Altman, Dennis</t>
  </si>
  <si>
    <t>Civilization, Medieval -- Maps. ; Europe -- Historical geography -- Maps. ; Europe -- History -- 476-1492.</t>
  </si>
  <si>
    <t>https://ebookcentral.proquest.com/lib/viva-active/detail.action?docID=1316242</t>
  </si>
  <si>
    <t>The Ethics of Sex and Alzheimer's</t>
  </si>
  <si>
    <t>Portmann, John</t>
  </si>
  <si>
    <t>Alzheimer's disease - Patients - Sexual behavior</t>
  </si>
  <si>
    <t>https://ebookcentral.proquest.com/lib/viva-active/detail.action?docID=1318968</t>
  </si>
  <si>
    <t>Masculinity in Opera</t>
  </si>
  <si>
    <t>Routledge Research in Music Ser.</t>
  </si>
  <si>
    <t>Purvis, Philip</t>
  </si>
  <si>
    <t>Opera. ; Masculinity. ; Gender identity in music.</t>
  </si>
  <si>
    <t>https://ebookcentral.proquest.com/lib/viva-active/detail.action?docID=1318970</t>
  </si>
  <si>
    <t>Rethinking Transnational Men : Beyond, Between and Within Nations</t>
  </si>
  <si>
    <t>Hearn, Jeff;Blagojević, Marina;Harrison, Katherine</t>
  </si>
  <si>
    <t>https://ebookcentral.proquest.com/lib/viva-active/detail.action?docID=1319044</t>
  </si>
  <si>
    <t>Fertile Bonds : Bedouin Class, Kinship, and Gender in the Bekaa Valley</t>
  </si>
  <si>
    <t>Joseph, Suzanne E.</t>
  </si>
  <si>
    <t>Bedouins -- Lebanon -- Biqa? Valley. ; Families -- Lebanon -- Biqa? Valley. ; Fertility, Human -- Lebanon -- Biqa? Valley. ; Sex role -- Lebanon -- Biqa? Valley. ; Biqa? Valley (Lebanon) -- Social life and customs.</t>
  </si>
  <si>
    <t>https://ebookcentral.proquest.com/lib/viva-active/detail.action?docID=1323615</t>
  </si>
  <si>
    <t>Live and Die Like a Man : Gender Dynamics in Urban Egypt</t>
  </si>
  <si>
    <t>Ghannam, Farha</t>
  </si>
  <si>
    <t>Masculinity -- Egypt. ; Men -- Socialization -- Egypt. ; Sex role -- Egypt. ; Social norms -- Egypt. ; Egypt -- Social conditions -- 1981-</t>
  </si>
  <si>
    <t>https://ebookcentral.proquest.com/lib/viva-active/detail.action?docID=1329810</t>
  </si>
  <si>
    <t>Queer Visibility in Post-Socialist Cultures</t>
  </si>
  <si>
    <t>Fejes, Nárcisz;Balogh, Andrea P.</t>
  </si>
  <si>
    <t>Homosexuality. ; Sexual rights.</t>
  </si>
  <si>
    <t>https://ebookcentral.proquest.com/lib/viva-active/detail.action?docID=1334335</t>
  </si>
  <si>
    <t>Narrating American Gender and Ethnic Identities</t>
  </si>
  <si>
    <t>Różalska, Aleksandra M.;Zygadło, Grażyna</t>
  </si>
  <si>
    <t>Ethnic groups. ; Sexism. ; Sex.</t>
  </si>
  <si>
    <t>https://ebookcentral.proquest.com/lib/viva-active/detail.action?docID=1336781</t>
  </si>
  <si>
    <t>Homemade Men in Postwar Austrian Cinema : Nationhood, Genre and Masculinity</t>
  </si>
  <si>
    <t>Film Europa Ser.</t>
  </si>
  <si>
    <t>Fritsche, Maria</t>
  </si>
  <si>
    <t>Masculinity in motion pictures. ; Nationalism in motion pictures. ; Motion pictures -- Austria -- History -- 20th century.</t>
  </si>
  <si>
    <t>https://ebookcentral.proquest.com/lib/viva-active/detail.action?docID=1337738</t>
  </si>
  <si>
    <t>Censoring Sex Research : The Debate over Male Intergenerational Relations</t>
  </si>
  <si>
    <t>Hubbard, Thomas K.;Verstraete, Beert;Tsang, Daniel C</t>
  </si>
  <si>
    <t>Homosexuality -- Research. ; Sexology -- Research -- Censorship.</t>
  </si>
  <si>
    <t>https://ebookcentral.proquest.com/lib/viva-active/detail.action?docID=1339413</t>
  </si>
  <si>
    <t>The Subject of Gender : Daughters and Mothers in Urban China</t>
  </si>
  <si>
    <t>Asian Voices</t>
  </si>
  <si>
    <t>Evans, Harriet</t>
  </si>
  <si>
    <t>Sex role - China</t>
  </si>
  <si>
    <t>https://ebookcentral.proquest.com/lib/viva-active/detail.action?docID=1343770</t>
  </si>
  <si>
    <t>Gender, Sexuality, and Power in Latin America since Independence</t>
  </si>
  <si>
    <t>Jaguar Books on Latin America</t>
  </si>
  <si>
    <t>French, William E.;Bliss, Katherine Elaine</t>
  </si>
  <si>
    <t>Power (Social sciences) - Latin America</t>
  </si>
  <si>
    <t>https://ebookcentral.proquest.com/lib/viva-active/detail.action?docID=1350155</t>
  </si>
  <si>
    <t>Gendering the State in the Age of Globalization : Women's Movements and State Feminism in Postindustrial Democracies</t>
  </si>
  <si>
    <t>Haussman, Melissa;Sauer, Birgit</t>
  </si>
  <si>
    <t>Feminist theory - Political aspects</t>
  </si>
  <si>
    <t>https://ebookcentral.proquest.com/lib/viva-active/detail.action?docID=1350162</t>
  </si>
  <si>
    <t>Queer Voices from Japan : First Person Narratives from Japan's Sexual Minorities</t>
  </si>
  <si>
    <t>New Studies in Modern Japan</t>
  </si>
  <si>
    <t xml:space="preserve">McLelland, Mark;Suganuma, Katsuhiko;Welker, James;Afu, Oguiya ;Hideki, Sunagawa ;Hitomi, Sawbe ;Hitomi, Toyama ;Hiroaki, Hirano ;Hitoshi, Sugita </t>
  </si>
  <si>
    <t>Gays -- Japan -- Biography. ; Sexual minorities -- Japan.</t>
  </si>
  <si>
    <t>https://ebookcentral.proquest.com/lib/viva-active/detail.action?docID=1354849</t>
  </si>
  <si>
    <t>Rainbow Jews : Jewish and Gay Identity in the Performing Arts</t>
  </si>
  <si>
    <t>Friedman, Jonathan C.</t>
  </si>
  <si>
    <t>Fine Arts; Literature</t>
  </si>
  <si>
    <t>Jewish drama - 20th century - History and criticism</t>
  </si>
  <si>
    <t>https://ebookcentral.proquest.com/lib/viva-active/detail.action?docID=1354873</t>
  </si>
  <si>
    <t>Out in Africa : LGBT Organizing in Namibia and South Africa</t>
  </si>
  <si>
    <t>Currier, Ashley</t>
  </si>
  <si>
    <t>Management -- Moral and ethical aspects. ; Business ethics.</t>
  </si>
  <si>
    <t>https://ebookcentral.proquest.com/lib/viva-active/detail.action?docID=1362023</t>
  </si>
  <si>
    <t>Oye Loca : From the Mariel Boatlift to Gay Cuban Miami</t>
  </si>
  <si>
    <t>Peña, Susana</t>
  </si>
  <si>
    <t>Communication in medicine. ; Health promotion. ; Medicine -- Data processing.</t>
  </si>
  <si>
    <t>https://ebookcentral.proquest.com/lib/viva-active/detail.action?docID=1362024</t>
  </si>
  <si>
    <t>Rape in the Republic, 1609-1725 : Formulating Dutch Identity</t>
  </si>
  <si>
    <t>Studies in Medieval and Reformation Traditions Ser.</t>
  </si>
  <si>
    <t>Pipkin, Amanda C.</t>
  </si>
  <si>
    <t>Rape -- Political aspects -- Netherlands -- History -- 17th century. ; Rape in literature. ; Patriotism -- Netherlands -- History -- 17th century. ; Group identity -- Political aspects -- Netherlands -- History -- 17th century. ; Sex role -- Political aspects -- Netherlands -- History -- 17th century. ; Religion and politics -- Netherlands -- History -- 17th century. ; Political culture -- Netherlands -- History -- 17th century.</t>
  </si>
  <si>
    <t>https://ebookcentral.proquest.com/lib/viva-active/detail.action?docID=1367832</t>
  </si>
  <si>
    <t>Masculinities in Chinese History</t>
  </si>
  <si>
    <t>Asia/Pacific/Perspectives</t>
  </si>
  <si>
    <t>Hinsch, Bret</t>
  </si>
  <si>
    <t>Masculinity - China - History</t>
  </si>
  <si>
    <t>https://ebookcentral.proquest.com/lib/viva-active/detail.action?docID=1369088</t>
  </si>
  <si>
    <t>Evolution's Rainbow : Diversity, Gender, and Sexuality in Nature and People</t>
  </si>
  <si>
    <t>Roughgarden, Joan</t>
  </si>
  <si>
    <t>Science; Social Science; Science: Biology/Natural History</t>
  </si>
  <si>
    <t>Sexual behavior in animals.</t>
  </si>
  <si>
    <t>https://ebookcentral.proquest.com/lib/viva-active/detail.action?docID=1375430</t>
  </si>
  <si>
    <t>Kingship and Masculinity in Late Medieval England</t>
  </si>
  <si>
    <t>Lewis, Katherine</t>
  </si>
  <si>
    <t>Therapeutic use</t>
  </si>
  <si>
    <t>https://ebookcentral.proquest.com/lib/viva-active/detail.action?docID=1377494</t>
  </si>
  <si>
    <t>Violent Delights, Violent Ends : Sex, Race, and Honor in Colonial Cartagena de Indias</t>
  </si>
  <si>
    <t>von Germeten, Nicole</t>
  </si>
  <si>
    <t>Cancer. ; Cancer -- Study and teaching.</t>
  </si>
  <si>
    <t>https://ebookcentral.proquest.com/lib/viva-active/detail.action?docID=1378778</t>
  </si>
  <si>
    <t>The Myth of Moral Panics : Sex, Snuff, and Satan</t>
  </si>
  <si>
    <t>Thompson, Bill;Williams, Andy</t>
  </si>
  <si>
    <t>Moral panics</t>
  </si>
  <si>
    <t>https://ebookcentral.proquest.com/lib/viva-active/detail.action?docID=1386423</t>
  </si>
  <si>
    <t>Ordinary in Brighton?: LGBT, Activisms and the City</t>
  </si>
  <si>
    <t>Browne, Kath;Bakshi, Leela</t>
  </si>
  <si>
    <t>Sexual minorities -- England -- Brighton -- Social conditions. ; Sexual minorities -- Government policy -- England -- Brighton.</t>
  </si>
  <si>
    <t>https://ebookcentral.proquest.com/lib/viva-active/detail.action?docID=1389023</t>
  </si>
  <si>
    <t>Becoming Female : The Male Body in Greek Tragedy</t>
  </si>
  <si>
    <t>Criminal Practice Ser.</t>
  </si>
  <si>
    <t>Cawthorn, Katrina</t>
  </si>
  <si>
    <t>Femininity in literature. ; Greek drama (Tragedy) -- History and criticism. ; Human body in literature. ; Masculinity in literature.</t>
  </si>
  <si>
    <t>https://ebookcentral.proquest.com/lib/viva-active/detail.action?docID=1394877</t>
  </si>
  <si>
    <t>Historical Dictionary of the Lesbian and Gay Liberation Movements : Historical Dictionaries of Religions, Philosophies, and Movements Series</t>
  </si>
  <si>
    <t>Historical Dictionaries of Religions, Philosophies, and Movements Series</t>
  </si>
  <si>
    <t>Myers, JoAnne</t>
  </si>
  <si>
    <t>Gay rights movement - United States - History</t>
  </si>
  <si>
    <t>https://ebookcentral.proquest.com/lib/viva-active/detail.action?docID=1416396</t>
  </si>
  <si>
    <t>The Pleasure's All Mine : A History of Perverse Sex</t>
  </si>
  <si>
    <t>Peakman, Julie</t>
  </si>
  <si>
    <t>Sex.</t>
  </si>
  <si>
    <t>https://ebookcentral.proquest.com/lib/viva-active/detail.action?docID=1418435</t>
  </si>
  <si>
    <t>Who's That Girl? Who's That Boy? : Clinical Practice Meets Postmodern Gender Theory</t>
  </si>
  <si>
    <t>Layton, Lynne</t>
  </si>
  <si>
    <t>Feminism</t>
  </si>
  <si>
    <t>https://ebookcentral.proquest.com/lib/viva-active/detail.action?docID=1433887</t>
  </si>
  <si>
    <t>Sexual Predators Amongst Us</t>
  </si>
  <si>
    <t>Rufo, Ronald A.</t>
  </si>
  <si>
    <t>Child sex offenders. ; Criminal behavior, Prediction of. ; Female sex offenders. ; Online sexual predators. ; Sex crimes. ; Sex offenders -- Psychology.</t>
  </si>
  <si>
    <t>https://ebookcentral.proquest.com/lib/viva-active/detail.action?docID=1447193</t>
  </si>
  <si>
    <t>Gender, Agency and Violence : European Perspectives from Early Modern Times to the Present Day</t>
  </si>
  <si>
    <t>Zitzlsperger, Dr Ulrike</t>
  </si>
  <si>
    <t>Sex role -- Europe. ; Violence -- Europe.</t>
  </si>
  <si>
    <t>https://ebookcentral.proquest.com/lib/viva-active/detail.action?docID=1477542</t>
  </si>
  <si>
    <t>Females Are Mosaics : X Inactivation and Sex Differences in Disease</t>
  </si>
  <si>
    <t>Migeon, Barbara</t>
  </si>
  <si>
    <t>Science; Medicine; Science: Biology/Natural History</t>
  </si>
  <si>
    <t>Mosaicism. ; X chromosome -- Abnormalities. ; Genetic disorders. ; Sex factors in disease.</t>
  </si>
  <si>
    <t>https://ebookcentral.proquest.com/lib/viva-active/detail.action?docID=1481007</t>
  </si>
  <si>
    <t>Asian Women and Intimate Work : Asian Women and Intimate Work</t>
  </si>
  <si>
    <t>Emiko, Ochiai;Aoyama, Kaoru;Ochiai, Emiko</t>
  </si>
  <si>
    <t>Sex role -- Asia. ; Women household employees -- Asia. ; Women foreign workers -- Asia. ; Prostitutes -- Asia. ; Women -- Asia -- Economic conditions. ; Women -- Asia -- Social conditions.</t>
  </si>
  <si>
    <t>https://ebookcentral.proquest.com/lib/viva-active/detail.action?docID=1481144</t>
  </si>
  <si>
    <t>Sex in Consumer Culture : The Erotic Content of Media and Marketing</t>
  </si>
  <si>
    <t>Routledge Communication Ser.</t>
  </si>
  <si>
    <t>Reichert, Tom;Lambiase, Jacqueline</t>
  </si>
  <si>
    <t>Sex in advertising. ; Sex in mass media.</t>
  </si>
  <si>
    <t>https://ebookcentral.proquest.com/lib/viva-active/detail.action?docID=1487117</t>
  </si>
  <si>
    <t>Slumming : Sexual and Social Politics in Victorian London</t>
  </si>
  <si>
    <t>Koven, Seth</t>
  </si>
  <si>
    <t>Poor -- England -- London -- History -- 19th century. ; Slums -- England -- London -- History -- 19th century. ; Sex customs -- England -- London -- History -- 19th century. ; Voluntarism -- England -- London -- History -- 19th century. ; Charities -- England -- London -- History -- 19th century. ; London (England) -- Social conditions.</t>
  </si>
  <si>
    <t>https://ebookcentral.proquest.com/lib/viva-active/detail.action?docID=1492537</t>
  </si>
  <si>
    <t>Sexual Conflict</t>
  </si>
  <si>
    <t>Monographs in Behavior and Ecology Ser.</t>
  </si>
  <si>
    <t>Arnqvist, Göran;Rowe, Locke;Arnqvist, Göran</t>
  </si>
  <si>
    <t>Science; Science: Zoology</t>
  </si>
  <si>
    <t>Sexual behavior in animals. ; Agonistic behavior in animals.</t>
  </si>
  <si>
    <t>https://ebookcentral.proquest.com/lib/viva-active/detail.action?docID=1520762</t>
  </si>
  <si>
    <t>Media Disparity : A Gender Battleground</t>
  </si>
  <si>
    <t>Armstrong, Cory L.;Tuchman, Gaye;Andsager, Julie L.;Antunovic, Dunja;Bissell, Kim;Brown, Timothy;Butler, Sim;Byerly, Carolyn M.;Bystrom, Dianne;Collins, Steve J.</t>
  </si>
  <si>
    <t>Women in mass media</t>
  </si>
  <si>
    <t>https://ebookcentral.proquest.com/lib/viva-active/detail.action?docID=1528170</t>
  </si>
  <si>
    <t>Among the Bloodpeople : Politics and Flesh</t>
  </si>
  <si>
    <t>Akashic Books</t>
  </si>
  <si>
    <t>Glave, Thomas</t>
  </si>
  <si>
    <t>Jamaica - Social conditions</t>
  </si>
  <si>
    <t>https://ebookcentral.proquest.com/lib/viva-active/detail.action?docID=1531287</t>
  </si>
  <si>
    <t>Beyond Race, Sex, and Sexual Orientation : Legal Equality without Identity</t>
  </si>
  <si>
    <t>Bedi, Sonu</t>
  </si>
  <si>
    <t>Equality before the law -- United States. ; Discrimination -- Law and legislation -- United States.</t>
  </si>
  <si>
    <t>https://ebookcentral.proquest.com/lib/viva-active/detail.action?docID=1543488</t>
  </si>
  <si>
    <t>Railroad Radicals in Cold War Mexico : Gender, Class, and Memory</t>
  </si>
  <si>
    <t>Alegre, Robert F.;Poniatowska, Elena</t>
  </si>
  <si>
    <t>Railroads -- Employees -- Labor unions -- Mexico -- History -- 20th century. ; Mexico -- History -- 20th century.</t>
  </si>
  <si>
    <t>https://ebookcentral.proquest.com/lib/viva-active/detail.action?docID=1543726</t>
  </si>
  <si>
    <t>Reel Vulnerability : Power, Pain, and Gender in Contemporary American Film and Television</t>
  </si>
  <si>
    <t>Hagelin, Sarah</t>
  </si>
  <si>
    <t>Pain in motion pictures</t>
  </si>
  <si>
    <t>https://ebookcentral.proquest.com/lib/viva-active/detail.action?docID=1562488</t>
  </si>
  <si>
    <t>Amigas y Amantes : Sexually Nonconforming Latinas Negotiate Family</t>
  </si>
  <si>
    <t>Families in Focus Ser.</t>
  </si>
  <si>
    <t>Acosta, Katie L.</t>
  </si>
  <si>
    <t>Hispanic American lesbians</t>
  </si>
  <si>
    <t>https://ebookcentral.proquest.com/lib/viva-active/detail.action?docID=1562500</t>
  </si>
  <si>
    <t>Queering Marriage : Challenging Family Formation in the United States</t>
  </si>
  <si>
    <t>Kimport, Katrina</t>
  </si>
  <si>
    <t>Gay rights - California - San Francisco</t>
  </si>
  <si>
    <t>https://ebookcentral.proquest.com/lib/viva-active/detail.action?docID=1562502</t>
  </si>
  <si>
    <t>Feminist Advocacy : Gendered Organizations in Community-Based Responses to Domestic Violence</t>
  </si>
  <si>
    <t>Nichols, Andrea J.</t>
  </si>
  <si>
    <t>Abused children -- Services for -- United States. ; Abused women -- Services for -- United States. ; Community organization -- United States. ; Family violence -- Law and legislation -- United States. ; Feminism -- United States.</t>
  </si>
  <si>
    <t>https://ebookcentral.proquest.com/lib/viva-active/detail.action?docID=1562853</t>
  </si>
  <si>
    <t>A Companion to Greek and Roman Sexualities</t>
  </si>
  <si>
    <t>Blackwell Companions to the Ancient World Ser.</t>
  </si>
  <si>
    <t>Hubbard, Thomas K.</t>
  </si>
  <si>
    <t>Greek literature -- History and criticism. ; Latin literature -- History and criticism. ; Sex -- Greece -- History. ; Sex -- Rome -- History. ; Sex in literature. ; Greece -- Social life and customs. ; Rome -- Social life and customs.</t>
  </si>
  <si>
    <t>https://ebookcentral.proquest.com/lib/viva-active/detail.action?docID=1563642</t>
  </si>
  <si>
    <t>The Gay Archipelago : Sexuality and Nation in Indonesia</t>
  </si>
  <si>
    <t>Boellstorff, Tom</t>
  </si>
  <si>
    <t>Gay men -- Indonesia -- Identity. ; Lesbians -- Indonesia -- Identity. ; Gay men -- Indonesia -- Social conditions. ; Lesbians -- Indonesia -- Social conditions. ; Gender identity -- Indonesia. ; Homosexuality -- Political aspects -- Indonesia.</t>
  </si>
  <si>
    <t>https://ebookcentral.proquest.com/lib/viva-active/detail.action?docID=1565231</t>
  </si>
  <si>
    <t>Islam, Gender, and Migrant Integration : The Case of Somali Immigrant Families</t>
  </si>
  <si>
    <t>The New Americans: Recent Immigration and American Society</t>
  </si>
  <si>
    <t>Huraibi, Nahla al</t>
  </si>
  <si>
    <t>Florida -- Politics and government -- 1951- -- Handbooks, manuals, etc. ; Local government -- Florida -- Handbooks, manuals, etc. ; Local government.</t>
  </si>
  <si>
    <t>https://ebookcentral.proquest.com/lib/viva-active/detail.action?docID=1572848</t>
  </si>
  <si>
    <t>Art and Homosexuality : A History of Ideas</t>
  </si>
  <si>
    <t>Reed, Christopher</t>
  </si>
  <si>
    <t>Homosexuality and the arts.</t>
  </si>
  <si>
    <t>https://ebookcentral.proquest.com/lib/viva-active/detail.action?docID=1573051</t>
  </si>
  <si>
    <t>The Polyamorists Next Door : Inside Multiple-Partner Relationships and Families</t>
  </si>
  <si>
    <t>Sheff, Elisabeth</t>
  </si>
  <si>
    <t>Non-monogamous relationships. ; Open marriage. ; Families. ; Sexual ethics.</t>
  </si>
  <si>
    <t>https://ebookcentral.proquest.com/lib/viva-active/detail.action?docID=1574426</t>
  </si>
  <si>
    <t>Men and Masculinities in Contemporary China : Men and Masculinities in Contemporary China</t>
  </si>
  <si>
    <t>Song, Geng;Hird, Derek</t>
  </si>
  <si>
    <t>Masculinity -- China. ; Masculinity in mass media. ; Men -- China -- Identity.</t>
  </si>
  <si>
    <t>https://ebookcentral.proquest.com/lib/viva-active/detail.action?docID=1579908</t>
  </si>
  <si>
    <t>Masculinity after Trujillo : The Politics of Gender in Dominican Literature</t>
  </si>
  <si>
    <t>Horn, Maja</t>
  </si>
  <si>
    <t>Men - Dominican Republic - Psychology</t>
  </si>
  <si>
    <t>https://ebookcentral.proquest.com/lib/viva-active/detail.action?docID=1582129</t>
  </si>
  <si>
    <t>Warriors and Worriers : The Survival of the Sexes</t>
  </si>
  <si>
    <t>Benenson, Joyce F.;Markovits, Henry</t>
  </si>
  <si>
    <t>Sex differences (Psychology) ; Sex differences.</t>
  </si>
  <si>
    <t>https://ebookcentral.proquest.com/lib/viva-active/detail.action?docID=1591077</t>
  </si>
  <si>
    <t>Globalized Fatherhood</t>
  </si>
  <si>
    <t>Inhorn, Marcia C.;Chavkin, Wendy;Navarro, José-Alberto</t>
  </si>
  <si>
    <t>Infertility. ; Fatherhood.</t>
  </si>
  <si>
    <t>https://ebookcentral.proquest.com/lib/viva-active/detail.action?docID=1598096</t>
  </si>
  <si>
    <t>Integrative Men's Health : Integrative Men's Health</t>
  </si>
  <si>
    <t>Weil Integrative Medicine Library</t>
  </si>
  <si>
    <t>Spar, Myles D.;Munoz, George E.</t>
  </si>
  <si>
    <t>Men's Health</t>
  </si>
  <si>
    <t>https://ebookcentral.proquest.com/lib/viva-active/detail.action?docID=1602507</t>
  </si>
  <si>
    <t>Home Sweat Home : Perspectives on Housework and Modern Relationships</t>
  </si>
  <si>
    <t>Patton, Elizabeth;Choi, Mimi</t>
  </si>
  <si>
    <t>Homemakers. ; Housekeeping. ; Second-wave feminism.</t>
  </si>
  <si>
    <t>https://ebookcentral.proquest.com/lib/viva-active/detail.action?docID=1608996</t>
  </si>
  <si>
    <t>Resilience in South Sudanese Women : Hope for Daughters of the Nile</t>
  </si>
  <si>
    <t>Wanga-Odhiambo, Godriver</t>
  </si>
  <si>
    <t>Women and war -- South Sudan. ; Women -- South Sudan -- Social conditions. ; Women refugees -- South Sudan. ; South Sudanese -- United States. ; Sudan -- History -- Civil War, 1983-2005. ; South Sudan -- Politics and government -- 2005-2011.</t>
  </si>
  <si>
    <t>https://ebookcentral.proquest.com/lib/viva-active/detail.action?docID=1609354</t>
  </si>
  <si>
    <t>Sexuality and the Politics of Violence and Safety</t>
  </si>
  <si>
    <t>Moran, Les;Skeggs, Beverley</t>
  </si>
  <si>
    <t>Gays - Crimes against</t>
  </si>
  <si>
    <t>https://ebookcentral.proquest.com/lib/viva-active/detail.action?docID=1619198</t>
  </si>
  <si>
    <t>Baakisimba : Gender in the Music and Dance of the Baganda People of Uganda</t>
  </si>
  <si>
    <t>Current Research in Ethnomusicology: Outstanding Dissertations Ser.</t>
  </si>
  <si>
    <t>Nannyonga-Tamusuza, Sylvia Antonia</t>
  </si>
  <si>
    <t>Sex role - Uganda</t>
  </si>
  <si>
    <t>https://ebookcentral.proquest.com/lib/viva-active/detail.action?docID=1619262</t>
  </si>
  <si>
    <t>Global Dreams : Class, Gender, and Public Space in Cosmopolitan Cairo</t>
  </si>
  <si>
    <t>American University in Cairo Press</t>
  </si>
  <si>
    <t>Koning, Anouk de</t>
  </si>
  <si>
    <t>Middle class -- Egypt -- Cairo. ; Social classes -- Egypt -- Cairo. ; Cairo (Egypt) -- Economic conditions -- 21st century. ; Cairo (Egypt) -- Social conditions -- 21st century.</t>
  </si>
  <si>
    <t>https://ebookcentral.proquest.com/lib/viva-active/detail.action?docID=1635619</t>
  </si>
  <si>
    <t>Men Still at Work : Professionals Over Sixty and On the Job</t>
  </si>
  <si>
    <t>Fideler, Elizabeth F.</t>
  </si>
  <si>
    <t>Older men - Employment - United States</t>
  </si>
  <si>
    <t>https://ebookcentral.proquest.com/lib/viva-active/detail.action?docID=1637323</t>
  </si>
  <si>
    <t>Speaking for Our Lives : Historic Speeches and Rhetoric for Gay and Lesbian Rights (1892-2000)</t>
  </si>
  <si>
    <t>Ridinger, Robert B.</t>
  </si>
  <si>
    <t>Transsexualism - United States.</t>
  </si>
  <si>
    <t>https://ebookcentral.proquest.com/lib/viva-active/detail.action?docID=1639354</t>
  </si>
  <si>
    <t>In Search of Common Ground on Abortion : From Culture War to Reproductive Justice</t>
  </si>
  <si>
    <t>Gender in Law, Culture, and Society Ser.</t>
  </si>
  <si>
    <t>West, Robin;Murray, Justin;Esser, Meredith;Albertson Fineman, Professor Martha</t>
  </si>
  <si>
    <t>Health; Social Science; Law</t>
  </si>
  <si>
    <t>Abortion -- Law and legislation -- United States. ; Abortion -- Social aspects -- United States. ; Abortion -- Government policy -- United States.</t>
  </si>
  <si>
    <t>https://ebookcentral.proquest.com/lib/viva-active/detail.action?docID=1645681</t>
  </si>
  <si>
    <t>Regulating Prostitution in China : Gender and Local Statebuilding, 1900-1937</t>
  </si>
  <si>
    <t>Remick, Elizabeth J.</t>
  </si>
  <si>
    <t>Prostitution -- Government policy -- China -- History -- 20th century. ; Sex role -- China -- History -- 20th century. ; Local government -- China -- History -- 20th century.</t>
  </si>
  <si>
    <t>https://ebookcentral.proquest.com/lib/viva-active/detail.action?docID=1650362</t>
  </si>
  <si>
    <t>Rednecks, Queers, and Country Music</t>
  </si>
  <si>
    <t>Country music -- History and criticism. ; Country music -- Social aspects -- United States. ; Homosexuality and popular music -- United States.</t>
  </si>
  <si>
    <t>https://ebookcentral.proquest.com/lib/viva-active/detail.action?docID=1650803</t>
  </si>
  <si>
    <t>The Handbook of Language, Gender, and Sexuality : Handbook of Language, Gender and Sexuality</t>
  </si>
  <si>
    <t>Blackwell Handbooks in Linguistics Ser.</t>
  </si>
  <si>
    <t>Ehrlich, Susan;Meyerhoff, Miriam;Holmes, Janet</t>
  </si>
  <si>
    <t>Language and sex--Handbooks, manuals, etc.</t>
  </si>
  <si>
    <t>https://ebookcentral.proquest.com/lib/viva-active/detail.action?docID=1650826</t>
  </si>
  <si>
    <t>Mining Coal and Undermining Gender : Rhythms of Work and Family in the American West</t>
  </si>
  <si>
    <t>Rolston, Jessica Smith</t>
  </si>
  <si>
    <t>Coal mines and mining - Social aspects - Wyoming</t>
  </si>
  <si>
    <t>https://ebookcentral.proquest.com/lib/viva-active/detail.action?docID=1651775</t>
  </si>
  <si>
    <t>Queering Fat Embodiment</t>
  </si>
  <si>
    <t>Pausé, Cat;Wykes, Jackie;Murray, Samantha</t>
  </si>
  <si>
    <t>Queer theory. ; Obesity -- Social aspects. ; Human body -- Social aspects. ; Identity (Psychology)</t>
  </si>
  <si>
    <t>https://ebookcentral.proquest.com/lib/viva-active/detail.action?docID=1652956</t>
  </si>
  <si>
    <t>Charity and Sylvia : A Same-Sex Marriage in Early America</t>
  </si>
  <si>
    <t>Cleves, Rachel Hope</t>
  </si>
  <si>
    <t>Same-sex marriage - United States - To 1865</t>
  </si>
  <si>
    <t>https://ebookcentral.proquest.com/lib/viva-active/detail.action?docID=1661330</t>
  </si>
  <si>
    <t>Negotiating Sex Work : Unintended Consequences of Policy and Activism</t>
  </si>
  <si>
    <t>Showden, Carisa R.;Majic, Samantha</t>
  </si>
  <si>
    <t>Prostitution -- Government policy. ; Prostitutes -- Political activity. ; Prostitutes -- Labor unions.</t>
  </si>
  <si>
    <t>https://ebookcentral.proquest.com/lib/viva-active/detail.action?docID=1663028</t>
  </si>
  <si>
    <t>Orientalism, Gender, and the Jews : Literary and Artistic Transformations of European National Discourses</t>
  </si>
  <si>
    <t>Walter de Gruyter GmbH</t>
  </si>
  <si>
    <t>Europäisch-Jüdische Studien - Beiträge Ser.</t>
  </si>
  <si>
    <t>Brunotte, Ulrike;Ludewig, Anna-Dorothea;Stähler, Axel</t>
  </si>
  <si>
    <t>Jews -- Europe -- Identity. ; Jews, Oriental.</t>
  </si>
  <si>
    <t>https://ebookcentral.proquest.com/lib/viva-active/detail.action?docID=1663145</t>
  </si>
  <si>
    <t>Health Care Disparities and the LGBT Population</t>
  </si>
  <si>
    <t>Harvey, Vickie L.;Housel, Teresa Heinz;Kreps, Gary L.;Peterkin, Allan D.;Willes, Karina;Allen, Mike;Manning, Jimmie;Ross, Katy;Scholl, Juliann C.;Bell, Gina Castle</t>
  </si>
  <si>
    <t>Transgender people - Medical care - United States</t>
  </si>
  <si>
    <t>https://ebookcentral.proquest.com/lib/viva-active/detail.action?docID=1664193</t>
  </si>
  <si>
    <t>Medicine; Science: Biology/Natural History; Science</t>
  </si>
  <si>
    <t>X chromosome. ; Mosaicism. ; Sex determination, Genetic. ; Sex-linkage (Genetics)</t>
  </si>
  <si>
    <t>https://ebookcentral.proquest.com/lib/viva-active/detail.action?docID=1665564</t>
  </si>
  <si>
    <t>Bi America : Myths, Truths, and Struggles of an Invisible Community</t>
  </si>
  <si>
    <t>Burleson, William</t>
  </si>
  <si>
    <t>Bisexuals - United States - Social conditions.</t>
  </si>
  <si>
    <t>https://ebookcentral.proquest.com/lib/viva-active/detail.action?docID=1665857</t>
  </si>
  <si>
    <t>Queering Creole Spiritual Traditions : Lesbian, Gay, Bisexual, and Transgender Participation in African-Inspired Traditions in the Americas</t>
  </si>
  <si>
    <t>Lundschien Conner, Randy P.;Sparks, David</t>
  </si>
  <si>
    <t>Homosexuality -- Religious aspects. ; Afro-Caribbean cults.</t>
  </si>
  <si>
    <t>https://ebookcentral.proquest.com/lib/viva-active/detail.action?docID=1666833</t>
  </si>
  <si>
    <t>There Goes the Gayborhood?</t>
  </si>
  <si>
    <t>Princeton Studies in Cultural Sociology Ser.</t>
  </si>
  <si>
    <t>Ghaziani, Amin</t>
  </si>
  <si>
    <t>Gay community -- United States -- History.</t>
  </si>
  <si>
    <t>https://ebookcentral.proquest.com/lib/viva-active/detail.action?docID=1674228</t>
  </si>
  <si>
    <t>Making Sense of Intersex : Changing Ethical Perspectives in Biomedicine</t>
  </si>
  <si>
    <t>Feder, Ellen K.</t>
  </si>
  <si>
    <t>Medicine; Philosophy</t>
  </si>
  <si>
    <t>Intersexuality - Treatment - Moral and ethical apsects</t>
  </si>
  <si>
    <t>https://ebookcentral.proquest.com/lib/viva-active/detail.action?docID=1676283</t>
  </si>
  <si>
    <t>Domestic Murder in Nineteenth-Century England : Literary and Cultural Representations</t>
  </si>
  <si>
    <t>Walsh, Bridget</t>
  </si>
  <si>
    <t>English literature -- 19th century -- History and criticism. ; Popular literature -- Great Britain -- History and criticism. ; Murder in literature. ; Family violence in literature. ; Social values in literature.</t>
  </si>
  <si>
    <t>https://ebookcentral.proquest.com/lib/viva-active/detail.action?docID=1678756</t>
  </si>
  <si>
    <t>Nearness of Others : Searching for Tact and Contact in the Age of HIV</t>
  </si>
  <si>
    <t>Caron, David</t>
  </si>
  <si>
    <t>HIV-positive gay men -- Biography. ; HIV-positive gay men -- Psychology.</t>
  </si>
  <si>
    <t>https://ebookcentral.proquest.com/lib/viva-active/detail.action?docID=1679059</t>
  </si>
  <si>
    <t>Trans Bodies, Trans Selves : A Resource for the Transgender Community</t>
  </si>
  <si>
    <t>Erickson-Schroth, Laura</t>
  </si>
  <si>
    <t>Transgender people. ; Transgenderism. ; Gender identity.</t>
  </si>
  <si>
    <t>https://ebookcentral.proquest.com/lib/viva-active/detail.action?docID=1685668</t>
  </si>
  <si>
    <t>Rhetorical Secrets : Mapping Gay Identity and Queer Resistance in Contemporary America</t>
  </si>
  <si>
    <t>Albma Rhetoric Cult and Soc Crit Ser.</t>
  </si>
  <si>
    <t>Grindstaff, Davin Allen</t>
  </si>
  <si>
    <t>Gay men -- United States -- Identity. ; Male homosexuality -- United States. ; Rhetoric -- Social aspects -- United States.</t>
  </si>
  <si>
    <t>https://ebookcentral.proquest.com/lib/viva-active/detail.action?docID=1687674</t>
  </si>
  <si>
    <t>Gender Issues in African Literature</t>
  </si>
  <si>
    <t>Handel Books</t>
  </si>
  <si>
    <t>Ce, Chin;Smith, Charles</t>
  </si>
  <si>
    <t>African literature. ; Slave trade in literature. ; Slavery in literature.</t>
  </si>
  <si>
    <t>https://ebookcentral.proquest.com/lib/viva-active/detail.action?docID=1690595</t>
  </si>
  <si>
    <t>State of Defiance : Challenging the Johns Committee's Assault on Civil Liberties</t>
  </si>
  <si>
    <t>Poucher, Judith</t>
  </si>
  <si>
    <t>Political Science; Law</t>
  </si>
  <si>
    <t>Gay rights - Florida - History</t>
  </si>
  <si>
    <t>https://ebookcentral.proquest.com/lib/viva-active/detail.action?docID=1690885</t>
  </si>
  <si>
    <t>Nobody Is Supposed to Know : Black Sexuality on the Down Low</t>
  </si>
  <si>
    <t>Snorton, C. Riley</t>
  </si>
  <si>
    <t>African American gays. ; African Americans -- Sexual behavior.</t>
  </si>
  <si>
    <t>https://ebookcentral.proquest.com/lib/viva-active/detail.action?docID=1693127</t>
  </si>
  <si>
    <t>Globalized Religion and Sexual Identity : Contexts, Contestations, Voices</t>
  </si>
  <si>
    <t>Shipley, Heather</t>
  </si>
  <si>
    <t>Gender identity -- Religious aspects. ; Sex role -- Religious aspects. ; Globalization -- Religious aspects.</t>
  </si>
  <si>
    <t>https://ebookcentral.proquest.com/lib/viva-active/detail.action?docID=1693657</t>
  </si>
  <si>
    <t>Sexuality and Gender in Postcommunist Eastern Europe and Russia</t>
  </si>
  <si>
    <t xml:space="preserve">Coleman, Edmond J.;Sandfort, Theo;Stulhofer, Aleksandar </t>
  </si>
  <si>
    <t>Sex -- Europe, Eastern. ; Sex -- Europe, Central. ; Sex -- Former Soviet republics. ; Gender identity -- Europe, Eastern. ; Gender identity -- Europe, Central.</t>
  </si>
  <si>
    <t>https://ebookcentral.proquest.com/lib/viva-active/detail.action?docID=1694536</t>
  </si>
  <si>
    <t>Hyper Sexual, Hyper Masculine? : Gender, Race and Sexuality in the Identities of Contemporary Black Men</t>
  </si>
  <si>
    <t>Slatton, Brittany C.;Spates, Kamesha</t>
  </si>
  <si>
    <t>African American men -- Sexual behavior. ; African American men -- Attitudes. ; Masculinity -- United States.</t>
  </si>
  <si>
    <t>https://ebookcentral.proquest.com/lib/viva-active/detail.action?docID=1698622</t>
  </si>
  <si>
    <t>Settler Common Sense : Queerness and Everyday Colonialism in the American Renaissance</t>
  </si>
  <si>
    <t>Rifkin, Mark</t>
  </si>
  <si>
    <t>Indians in literature. ; Queer theory. ; Homosexuality in literature.</t>
  </si>
  <si>
    <t>https://ebookcentral.proquest.com/lib/viva-active/detail.action?docID=1701708</t>
  </si>
  <si>
    <t>Constructing the Literary Self : Race and Gender in Twentieth-Century Literature</t>
  </si>
  <si>
    <t>Daniels, Patsy J.</t>
  </si>
  <si>
    <t>Self in literature. ; Race in literature. ; Gender identity in literature. ; Literature, Modern -- 20th century -- History and criticism.</t>
  </si>
  <si>
    <t>https://ebookcentral.proquest.com/lib/viva-active/detail.action?docID=1707022</t>
  </si>
  <si>
    <t>School's Out : Gay and Lesbian Teachers in the Classroom</t>
  </si>
  <si>
    <t>Connell, Catherine</t>
  </si>
  <si>
    <t>Sexual minorities - Education</t>
  </si>
  <si>
    <t>https://ebookcentral.proquest.com/lib/viva-active/detail.action?docID=1711010</t>
  </si>
  <si>
    <t>Law and the Gay Rights Story : The Long Search for Equal Justice in a Divided Democracy</t>
  </si>
  <si>
    <t>Frank, Walter</t>
  </si>
  <si>
    <t>https://ebookcentral.proquest.com/lib/viva-active/detail.action?docID=1711412</t>
  </si>
  <si>
    <t>The Meaning of Sexual Identity in the Twenty-First Century</t>
  </si>
  <si>
    <t xml:space="preserve">Kaufman, Judith S.;Powell,  David A.;Kaufman, Judith S ;Powell, David A </t>
  </si>
  <si>
    <t>Gender identity -- 21st century. ; Sex role -- Social aspects -- 21st century.</t>
  </si>
  <si>
    <t>https://ebookcentral.proquest.com/lib/viva-active/detail.action?docID=1712181</t>
  </si>
  <si>
    <t>African American Male Students in PreK-12 Schools : Informing Research, Policy, and Practice</t>
  </si>
  <si>
    <t>Advances in Race and Ethnicity in Education Ser.</t>
  </si>
  <si>
    <t>Lewis, Chance W.;Moore, James L., III;Lewis, Chance W. ;Moore III, James L.</t>
  </si>
  <si>
    <t>African American boys -- Education. ; African American students. ; African Americans -- Education (Elementary)</t>
  </si>
  <si>
    <t>https://ebookcentral.proquest.com/lib/viva-active/detail.action?docID=1712203</t>
  </si>
  <si>
    <t>The Wayward Woman : Progressivism, Prostitution, and Performance in the United States, 1888–1917</t>
  </si>
  <si>
    <t>Antoniazzi, Barbara</t>
  </si>
  <si>
    <t>Prostitution - United States - History</t>
  </si>
  <si>
    <t>https://ebookcentral.proquest.com/lib/viva-active/detail.action?docID=1716276</t>
  </si>
  <si>
    <t>Wives, Husbands, and Lovers : Marriage and Sexuality in Hong Kong, Taiwan, and Urban China</t>
  </si>
  <si>
    <t>Davis, Deborah S.;Friedman, Sara L.</t>
  </si>
  <si>
    <t>Marriage -- China. ; Marriage -- China -- Hong Kong. ; Marriage -- Taiwan. ; Sex -- China. ; Sex -- China -- Hong Kong.</t>
  </si>
  <si>
    <t>https://ebookcentral.proquest.com/lib/viva-active/detail.action?docID=1719959</t>
  </si>
  <si>
    <t>Bordered Lives : Transgender Portraits from Mexico</t>
  </si>
  <si>
    <t>The New Press</t>
  </si>
  <si>
    <t>Arnal, Kike;Stryker, Susan</t>
  </si>
  <si>
    <t>Transsexuals - Mexico</t>
  </si>
  <si>
    <t>https://ebookcentral.proquest.com/lib/viva-active/detail.action?docID=1725289</t>
  </si>
  <si>
    <t>Gender Matters : Discourses of Violence in Early Modern Literature and the Arts</t>
  </si>
  <si>
    <t>Internationale Forschungen Zur Allgemeinen und Vergleichenden Literaturwissenschaft Ser.</t>
  </si>
  <si>
    <t>Wade, Mara R.</t>
  </si>
  <si>
    <t>Violence in literature. ; Sex role in literature. ; Violence in the theater. ; Sex role in the theater.</t>
  </si>
  <si>
    <t>https://ebookcentral.proquest.com/lib/viva-active/detail.action?docID=1727097</t>
  </si>
  <si>
    <t>Sexual Exploitation and Abuse by un Military Contingents : Moving Beyond the Current Status Quo and Responsibility under International Law</t>
  </si>
  <si>
    <t>International Humanitarian Law Ser.</t>
  </si>
  <si>
    <t>Burke, Róisín Sarah</t>
  </si>
  <si>
    <t>United Nations -- Peacekeeping forces -- Sexual behavior. ; United Nations -- Peacekeeping forces -- Conduct of life. ; Sex crimes -- Prevention. ; Peacekeeping forces -- Sexual behavior. ; Peacekeeping forces -- Conduct of life.</t>
  </si>
  <si>
    <t>https://ebookcentral.proquest.com/lib/viva-active/detail.action?docID=1730274</t>
  </si>
  <si>
    <t>Evangelicalism and Masculinity : Faith and Gender in El Salvador</t>
  </si>
  <si>
    <t>Santos, Jose Leonardo</t>
  </si>
  <si>
    <t>Evangelistic work - El Salvador - History</t>
  </si>
  <si>
    <t>https://ebookcentral.proquest.com/lib/viva-active/detail.action?docID=1732038</t>
  </si>
  <si>
    <t>The Politics of Gender and the Culture of Sexuality : Western, Islamic, and African Perspectives</t>
  </si>
  <si>
    <t>Mazrui, Ali A.;Anwar, Etin</t>
  </si>
  <si>
    <t>Ethnische Beziehung</t>
  </si>
  <si>
    <t>https://ebookcentral.proquest.com/lib/viva-active/detail.action?docID=1740507</t>
  </si>
  <si>
    <t>The Chevalier d'Eon and His Worlds : Gender, Espionage and Politics in the Eighteenth Century</t>
  </si>
  <si>
    <t>Mainz, Valerie;Burrows, Simon;Conlin, Jonathan;Goulbourne, Russell;Burrows, Simon;Conlin, Jonathan;Goulbourne, Russell</t>
  </si>
  <si>
    <t>Diplomats -- France -- Biography. ; Spies -- France -- Biography.</t>
  </si>
  <si>
    <t>https://ebookcentral.proquest.com/lib/viva-active/detail.action?docID=1744088</t>
  </si>
  <si>
    <t>Hypermasculinities in the Contemporary Novel : Cormac McCarthy, Toni Morrison, and James Baldwin</t>
  </si>
  <si>
    <t>Contemporary American Literature</t>
  </si>
  <si>
    <t>Benson, Josef</t>
  </si>
  <si>
    <t>McCarthy, Cormac, -- 1933- -- Criticism and interpretation. ; American fiction -- 20th century -- History and criticism. ; Masculinity in literature. ; Men in literature.</t>
  </si>
  <si>
    <t>https://ebookcentral.proquest.com/lib/viva-active/detail.action?docID=1752875</t>
  </si>
  <si>
    <t>Negotiating a Perilous Empowerment : Appalachian Women's Literacies</t>
  </si>
  <si>
    <t>Ohio University Press</t>
  </si>
  <si>
    <t>Series in Race, Ethnicity, and Gender in Appalachia Ser.</t>
  </si>
  <si>
    <t>Locklear, Erica Abrams</t>
  </si>
  <si>
    <t>American literature -- Appalachian Region -- History and criticism. ; Literacy in literature. ; Women -- Appalachian Region. ; Sex role in literature. ; Women in literature. ; Appalachian Region -- In literature.</t>
  </si>
  <si>
    <t>https://ebookcentral.proquest.com/lib/viva-active/detail.action?docID=1753406</t>
  </si>
  <si>
    <t>A Man's World? Political Masculinities in Literature and Culture</t>
  </si>
  <si>
    <t>Starck, Kathleen;Sauer, Birgit;Olszewski, Krzysztof</t>
  </si>
  <si>
    <t>Masculinity -- Political aspects. ; Masculinity in popular culture. ; Masculinity in literature.</t>
  </si>
  <si>
    <t>https://ebookcentral.proquest.com/lib/viva-active/detail.action?docID=1753483</t>
  </si>
  <si>
    <t>Sexual Feelings : Reading Anglophone Caribbean Women's Writing Through Affect</t>
  </si>
  <si>
    <t>Cross/Cultures Ser.</t>
  </si>
  <si>
    <t>Valovirta, Elina</t>
  </si>
  <si>
    <t>West Indian literature (English) -- History and criticism. ; West Indian literature (English) -- Women authors. ; Sex in literature.</t>
  </si>
  <si>
    <t>https://ebookcentral.proquest.com/lib/viva-active/detail.action?docID=1755902</t>
  </si>
  <si>
    <t>Sexual Orientation and Gender Identity</t>
  </si>
  <si>
    <t>The Spinney Press</t>
  </si>
  <si>
    <t>Issues in Society</t>
  </si>
  <si>
    <t>Healey, Justin</t>
  </si>
  <si>
    <t>Sexual orientation. ; Gender identity. ; Intersex people -- Identity.</t>
  </si>
  <si>
    <t>https://ebookcentral.proquest.com/lib/viva-active/detail.action?docID=1756107</t>
  </si>
  <si>
    <t>Feminism and Men</t>
  </si>
  <si>
    <t>van der Gaag, Nikki</t>
  </si>
  <si>
    <t>Feminism -- United States. ; Feminist theory. ; Masculinity -- United States. ; Men -- Sexual behavior -- United States. ; Men -- United States -- Attitudes. ; Men -- United States -- Psychology. ; Sex role -- United States.</t>
  </si>
  <si>
    <t>https://ebookcentral.proquest.com/lib/viva-active/detail.action?docID=1758716</t>
  </si>
  <si>
    <t>Male Sex Work and Society</t>
  </si>
  <si>
    <t>Harrington Park Press, LLC</t>
  </si>
  <si>
    <t>Minichiello, Victor;Scott, John;Scott, Victor</t>
  </si>
  <si>
    <t>Male prostitutes - Social conditions</t>
  </si>
  <si>
    <t>https://ebookcentral.proquest.com/lib/viva-active/detail.action?docID=1759048</t>
  </si>
  <si>
    <t>Fair Labelling and the Dilemma of Prosecuting Gender-Based Crimes at the International Criminal Tribunals</t>
  </si>
  <si>
    <t>Zawati, Hilmi M.;Doherty, CBE, Teresa A.</t>
  </si>
  <si>
    <t>Rape as a weapon of war. ; International criminal courts.</t>
  </si>
  <si>
    <t>https://ebookcentral.proquest.com/lib/viva-active/detail.action?docID=1760892</t>
  </si>
  <si>
    <t>Sexuality in School : The Limits of Education</t>
  </si>
  <si>
    <t>Gilbert, Jen</t>
  </si>
  <si>
    <t>Sex instruction. ; Gender identity -- Education. ; Sexual minorities -- Education. ; Sex differences in education. ; Homosexuality and education.</t>
  </si>
  <si>
    <t>https://ebookcentral.proquest.com/lib/viva-active/detail.action?docID=1762170</t>
  </si>
  <si>
    <t>Sexuality and Psychoanalysis : Philosophical Criticisms</t>
  </si>
  <si>
    <t>Leuven University Press</t>
  </si>
  <si>
    <t>Figures of the Unconscious Ser.</t>
  </si>
  <si>
    <t>Vleminck, Jens de;Dorfman, Eran</t>
  </si>
  <si>
    <t>Sex (Psychology) ; Psychoanalysis -- Philosophy. ; Sex -- Philosophy.</t>
  </si>
  <si>
    <t>https://ebookcentral.proquest.com/lib/viva-active/detail.action?docID=1762952</t>
  </si>
  <si>
    <t>Manhood and the Making of the Military : Conscription, Military Service and Masculinity in Finland, 1917-39</t>
  </si>
  <si>
    <t>Ahlbäck, Anders</t>
  </si>
  <si>
    <t>Draft -- Finland. ; Sociology, Military -- Finland. ; Soldiers -- Finland -- History -- 20th century. ; Masculinity -- Finland. ; Finland -- Armed Forces -- History -- 20th century. ; Finland -- Armed Forces -- Military life.</t>
  </si>
  <si>
    <t>https://ebookcentral.proquest.com/lib/viva-active/detail.action?docID=1763124</t>
  </si>
  <si>
    <t>Challenging Gender Inequality in Tax Policy Making : Comparative Perspectives</t>
  </si>
  <si>
    <t>Oñati International Series in Law and Society Ser.</t>
  </si>
  <si>
    <t xml:space="preserve">Brooks, Kim;Gunnarson, Åsa;Philipps, Lisa;Wersig, Maria </t>
  </si>
  <si>
    <t>Sex discrimination - Economic aspects</t>
  </si>
  <si>
    <t>https://ebookcentral.proquest.com/lib/viva-active/detail.action?docID=1772487</t>
  </si>
  <si>
    <t>Power, Change, and Gender Relations in Rural Java : A Tale of Two Villages</t>
  </si>
  <si>
    <t>Research in International Studies, Southeast Asia Ser.</t>
  </si>
  <si>
    <t>Tickamyer, Ann R.;Kusujiarti, Siti</t>
  </si>
  <si>
    <t>Women, Javanese -- Social conditions -- Case studies. ; Rural women -- Indonesia -- Java -- Social conditions -- Case studies. ; Sex role -- Indonesia -- Java -- Case studies.</t>
  </si>
  <si>
    <t>https://ebookcentral.proquest.com/lib/viva-active/detail.action?docID=1773387</t>
  </si>
  <si>
    <t>Gender, Migration and Categorisation : Making Distinctions Between Migrants in Western Countries, 1945-2010</t>
  </si>
  <si>
    <t>IMISCOE Research Ser.</t>
  </si>
  <si>
    <t>Schrover, Marlou;Moloney, Deirdre M.</t>
  </si>
  <si>
    <t>Sex discrimination against women. ; Emigration and immigration -- Sex differences.</t>
  </si>
  <si>
    <t>https://ebookcentral.proquest.com/lib/viva-active/detail.action?docID=1773723</t>
  </si>
  <si>
    <t>Sex and Drugs Before Rock 'n' Roll : Youth Culture and Masculinity During Holland's Golden Age</t>
  </si>
  <si>
    <t>Amsterdam Studies in the Dutch Golden Age Ser.</t>
  </si>
  <si>
    <t>Roberts, Benjamin B.</t>
  </si>
  <si>
    <t>Young men -- Netherlands -- Social life and customs -- History -- 17th century. ; Young men -- Alcohol use -- Netherlands -- History -- 17th century. ; Young men -- Sexual behavior -- Netherlands -- History -- 17th century. ; Masculinity -- Netherlands -- History -- 17th century. ; Young men in art. ; Netherlands -- Social life and customs -- 17th century.</t>
  </si>
  <si>
    <t>https://ebookcentral.proquest.com/lib/viva-active/detail.action?docID=1773738</t>
  </si>
  <si>
    <t>The Gender Vendors : Sex and Lies from Abraham to Freud</t>
  </si>
  <si>
    <t>Jones, A. L.</t>
  </si>
  <si>
    <t>Nature and nurture - Philosophy</t>
  </si>
  <si>
    <t>https://ebookcentral.proquest.com/lib/viva-active/detail.action?docID=1775994</t>
  </si>
  <si>
    <t>Bayard Taylor : Determined Dreamer of America’s Rise, 1825–1878</t>
  </si>
  <si>
    <t>Corley, Liam</t>
  </si>
  <si>
    <t>Taylor, Bayard</t>
  </si>
  <si>
    <t>https://ebookcentral.proquest.com/lib/viva-active/detail.action?docID=1776258</t>
  </si>
  <si>
    <t>Being the Body of Christ : Towards a Twenty-First Century Homosexual Theology for the Anglican Church</t>
  </si>
  <si>
    <t>Gender, Theology and Spirituality Ser.</t>
  </si>
  <si>
    <t>Mounsey, Chris</t>
  </si>
  <si>
    <t>English fiction -- 20th century -- History and criticism. ; Homosexuality in literature. ; Christianity and literature -- Great Britain -- History -- 20th century. ; Homosexuality -- Religious aspects -- Anglican Communion.</t>
  </si>
  <si>
    <t>https://ebookcentral.proquest.com/lib/viva-active/detail.action?docID=1790989</t>
  </si>
  <si>
    <t>The Complexities of Police Corruption : Gender, Identity, and Misconduct</t>
  </si>
  <si>
    <t>Corsianos, Marilyn</t>
  </si>
  <si>
    <t>Discrimination in law enforcement</t>
  </si>
  <si>
    <t>https://ebookcentral.proquest.com/lib/viva-active/detail.action?docID=1791719</t>
  </si>
  <si>
    <t>Critical Articulations of Race, Gender, and Sexual Orientation</t>
  </si>
  <si>
    <t>Howard, Sheena C.;Asante, Godfried;Bucciferro, Claudia;Camara, Sakile K.;Crownover, Brad;Drummond, Darlene K.;Drushel, Bruce E.;Eguchi, Shinsuke;Follins, Lourdes Dolores;Griffin, Rachel Alicia</t>
  </si>
  <si>
    <t>Minority gays. ; Minority lesbians. ; Sex discrimination. ; Lesbians -- Identity. ; Gays -- Identity.</t>
  </si>
  <si>
    <t>https://ebookcentral.proquest.com/lib/viva-active/detail.action?docID=1798288</t>
  </si>
  <si>
    <t>Redefining Kitsch and Camp in Literature and Culture</t>
  </si>
  <si>
    <t xml:space="preserve">Stępień, Justyna;Stepien, Justyna </t>
  </si>
  <si>
    <t>Fine Arts; Philosophy</t>
  </si>
  <si>
    <t>Kitsch -- In literature.</t>
  </si>
  <si>
    <t>https://ebookcentral.proquest.com/lib/viva-active/detail.action?docID=1800469</t>
  </si>
  <si>
    <t>Love and War : How Militarism Shapes Sexuality and Romance</t>
  </si>
  <si>
    <t>Digby, Tom</t>
  </si>
  <si>
    <t>Militarism - Social aspects</t>
  </si>
  <si>
    <t>https://ebookcentral.proquest.com/lib/viva-active/detail.action?docID=1801729</t>
  </si>
  <si>
    <t>Acts of Love and Lust : Sexuality in Australia from 1945-2010</t>
  </si>
  <si>
    <t>Featherstone, Lisa;Jennings, Rebecca;Reynolds, Robert</t>
  </si>
  <si>
    <t>Sex -- Australia. ; Sex customs -- Australia.</t>
  </si>
  <si>
    <t>https://ebookcentral.proquest.com/lib/viva-active/detail.action?docID=1810274</t>
  </si>
  <si>
    <t>The Impact of Gender Differences on the Conflict Management Styles of Managers in Bangladesh : An Analysis</t>
  </si>
  <si>
    <t>Sogra, Khair Jahan</t>
  </si>
  <si>
    <t>Conflict management -- Sex differences -- Bangladesh -- Case studies. ; Gender -- Bangladesh -- Case studies.</t>
  </si>
  <si>
    <t>https://ebookcentral.proquest.com/lib/viva-active/detail.action?docID=1810288</t>
  </si>
  <si>
    <t>Pangs of Love and Longing : Configurations of Desire in Premodern Literature</t>
  </si>
  <si>
    <t xml:space="preserve">Cullhed, Anders;Franzén, Carin;Hallengren, Anders;Malm, Mats ;Cullhed, Anders ;Franzen, Carin </t>
  </si>
  <si>
    <t>Literature, Ancient -- History and criticism. ; Literature, Medieval -- History and criticism. ; Desire in literature.</t>
  </si>
  <si>
    <t>https://ebookcentral.proquest.com/lib/viva-active/detail.action?docID=1819218</t>
  </si>
  <si>
    <t>Namibia's Rainbow Project : Gay Rights in an African Nation</t>
  </si>
  <si>
    <t>Lorway, Robert</t>
  </si>
  <si>
    <t>Namibia - Social conditions - 21st century</t>
  </si>
  <si>
    <t>https://ebookcentral.proquest.com/lib/viva-active/detail.action?docID=1822937</t>
  </si>
  <si>
    <t>Sex and Buildings : Modern Architecture and the Sexual Revolution</t>
  </si>
  <si>
    <t>Williams, Richard J.</t>
  </si>
  <si>
    <t>Architecture</t>
  </si>
  <si>
    <t>Architecture and society -- History -- 20th century. ; Architecture, Modern -- 20th century -- Case studies. ; Sexual ethics -- History -- 20th century.</t>
  </si>
  <si>
    <t>https://ebookcentral.proquest.com/lib/viva-active/detail.action?docID=1823226</t>
  </si>
  <si>
    <t>Queer Christianities : Lived Religion in Transgressive Forms</t>
  </si>
  <si>
    <t xml:space="preserve">Talvacchia, Kathleen T. ;Talvacchia, Kathleen T.;Larrimore, Mark </t>
  </si>
  <si>
    <t>Protestantism -- Haiti. ; Haitians -- Bahamas. ; Identification (Religion) -- Political aspects -- Haiti.</t>
  </si>
  <si>
    <t>https://ebookcentral.proquest.com/lib/viva-active/detail.action?docID=1831854</t>
  </si>
  <si>
    <t>Projecting 9/11 : Race, Gender, and Citizenship in Recent Hollywood Films</t>
  </si>
  <si>
    <t>Perspectives on a Multiracial America</t>
  </si>
  <si>
    <t>September 11 Terrorist Attacks, 2001, in motion pictures</t>
  </si>
  <si>
    <t>https://ebookcentral.proquest.com/lib/viva-active/detail.action?docID=1832603</t>
  </si>
  <si>
    <t>Chinese Lesbian Cinema : Mirror Rubbing, Lala, and Les</t>
  </si>
  <si>
    <t>Shi, Liang</t>
  </si>
  <si>
    <t>Lesbians in motion pictures</t>
  </si>
  <si>
    <t>https://ebookcentral.proquest.com/lib/viva-active/detail.action?docID=1832644</t>
  </si>
  <si>
    <t>Bachelors, Bastards, and Nomadic Masculinity : Illegitimacy in Guy de Maupassant and André Gide</t>
  </si>
  <si>
    <t>Fagley, Robert</t>
  </si>
  <si>
    <t>Maupassant, Guy de, -- 1850-1893 -- Criticism and interpretation. ; Gide, André, -- 1869-1951 -- Criticism and interpretation. ; Masculinity -- France -- History -- 19th century.</t>
  </si>
  <si>
    <t>https://ebookcentral.proquest.com/lib/viva-active/detail.action?docID=1859169</t>
  </si>
  <si>
    <t>Dancing Tango : Passionate Encounters in a Globalizing World</t>
  </si>
  <si>
    <t>Davis, Kathy</t>
  </si>
  <si>
    <t>Tango (Dance) -- Social aspects.</t>
  </si>
  <si>
    <t>https://ebookcentral.proquest.com/lib/viva-active/detail.action?docID=1864036</t>
  </si>
  <si>
    <t>Sex, Power, and Slavery</t>
  </si>
  <si>
    <t>Campbell, Gwyn;Elbourne, Elizabeth</t>
  </si>
  <si>
    <t>Slavery -- History. ; Sex crimes -- History. ; Women slaves -- Social conditions. ; Slaves -- Social conditions.</t>
  </si>
  <si>
    <t>https://ebookcentral.proquest.com/lib/viva-active/detail.action?docID=1869112</t>
  </si>
  <si>
    <t>Mermaids and the Production of Knowledge in Early Modern England</t>
  </si>
  <si>
    <t>Pedersen, Tara E.</t>
  </si>
  <si>
    <t>Women in literature. ; English drama -- 17th century -- History and criticism. ; English drama -- Early modern and Elizabethan, 1500-1600 -- History and criticism. ; Mermaids in literature. ; Sex role in literature. ; Social values in literature. ; Sex role -- England -- History.</t>
  </si>
  <si>
    <t>https://ebookcentral.proquest.com/lib/viva-active/detail.action?docID=1869310</t>
  </si>
  <si>
    <t>Under Bright Lights : Gay Manila and the Global Scene</t>
  </si>
  <si>
    <t>Benedicto, Bobby</t>
  </si>
  <si>
    <t>Gay men -- Philippines -- Manila. ; Male homosexuality -- Philippines -- Manila. ; Gay community -- Philippines -- Manila. ; Gay business enterprises -- Philippines -- Manila.</t>
  </si>
  <si>
    <t>https://ebookcentral.proquest.com/lib/viva-active/detail.action?docID=1872390</t>
  </si>
  <si>
    <t>Political Bodies/Body Politic : The Semiotics of Gender</t>
  </si>
  <si>
    <t>Juschka, Darlene M.</t>
  </si>
  <si>
    <t>Feminism and literature</t>
  </si>
  <si>
    <t>https://ebookcentral.proquest.com/lib/viva-active/detail.action?docID=1886923</t>
  </si>
  <si>
    <t>She-Q : Why Women Should Mentor Men and Change the World</t>
  </si>
  <si>
    <t>Takei, Michele</t>
  </si>
  <si>
    <t>https://ebookcentral.proquest.com/lib/viva-active/detail.action?docID=1887907</t>
  </si>
  <si>
    <t>Gendering Border Studies</t>
  </si>
  <si>
    <t>Gender Studies in Wales</t>
  </si>
  <si>
    <t>Aaron, Jane;Altink, Henrice;Weedon, Chris</t>
  </si>
  <si>
    <t>Boundaries -- Social aspects. ; Boundaries. ; Culture diffusion. ; Gender identity.</t>
  </si>
  <si>
    <t>https://ebookcentral.proquest.com/lib/viva-active/detail.action?docID=1889046</t>
  </si>
  <si>
    <t>The Women and Men of 1926 : A Gender and Social History of the General Strike and Miners' Lockout in South Wales</t>
  </si>
  <si>
    <t>Bruley, Sue</t>
  </si>
  <si>
    <t>Business/Management; Political Science</t>
  </si>
  <si>
    <t>Coal miners -- Wales, South -- Social conditions -- 20th century. ; General strikes -- Wales, South -- History. ; Strikes and lockouts -- Coal mining -- Wales, South -- History. ; Wales, South -- Social conditions -- 20th century.</t>
  </si>
  <si>
    <t>https://ebookcentral.proquest.com/lib/viva-active/detail.action?docID=1889095</t>
  </si>
  <si>
    <t>The Queer Uncanny : New Perspectives on the Gothic</t>
  </si>
  <si>
    <t>Palmer, Paulina</t>
  </si>
  <si>
    <t>English fiction -- History and criticism -- 20th century ; English fiction -- History and criticism -- 21st century ; Gays in literature ; Uncanny, The (Psychoanalysis), in literature</t>
  </si>
  <si>
    <t>https://ebookcentral.proquest.com/lib/viva-active/detail.action?docID=1889097</t>
  </si>
  <si>
    <t>Casebook for Counseling : Lesbian, Gay, Bisexual, and Transgender Persons and Their Families</t>
  </si>
  <si>
    <t>American Counseling Association</t>
  </si>
  <si>
    <t xml:space="preserve">Dworkin, Sari H.;Pope, Mark;Dworkin, Sari H ;Pope, Mark </t>
  </si>
  <si>
    <t>Lesbians -- Counseling of -- Case studies. ; Gays -- Counseling of -- Case studies. ; Bisexuals -- Counseling of -- Case studies. ; Transgender people -- Counseling of -- Case studies. ; Counseling -- Methodology.</t>
  </si>
  <si>
    <t>https://ebookcentral.proquest.com/lib/viva-active/detail.action?docID=1895273</t>
  </si>
  <si>
    <t>Love Songs : The Hidden History</t>
  </si>
  <si>
    <t>Gioia, Ted</t>
  </si>
  <si>
    <t>Love songs -- History and criticism.</t>
  </si>
  <si>
    <t>https://ebookcentral.proquest.com/lib/viva-active/detail.action?docID=1896213</t>
  </si>
  <si>
    <t>Japan, Alcoholism, and Masculinity : Suffering Sobriety in Tokyo</t>
  </si>
  <si>
    <t>Christensen, Paul A.</t>
  </si>
  <si>
    <t>Alcoholics Anonymous. ; Alcoholism -- Japan. ; Alcoholism -- Japan -- Tokyo. ; Alcoholics -- Japan -- Tokyo. ; Alcoholism -- Treatment -- Japan -- Tokyo. ; Men -- Japan -- Tokyo.</t>
  </si>
  <si>
    <t>https://ebookcentral.proquest.com/lib/viva-active/detail.action?docID=1901089</t>
  </si>
  <si>
    <t>Race, Gender, and Film Censorship in Virginia, 1922–1965</t>
  </si>
  <si>
    <t>New Studies in Southern History</t>
  </si>
  <si>
    <t>Ooten, Melissa</t>
  </si>
  <si>
    <t>Motion pictures - Censorship - Virginia - History</t>
  </si>
  <si>
    <t>https://ebookcentral.proquest.com/lib/viva-active/detail.action?docID=1910166</t>
  </si>
  <si>
    <t>Macho Ethics : Masculinity and Self-Representation in Latino-Caribbean Narrative</t>
  </si>
  <si>
    <t>Bucknell Studies in Latin American Literature and Theory</t>
  </si>
  <si>
    <t>Cortés, Jason</t>
  </si>
  <si>
    <t>American literature - West Indian American authors - History and criticism</t>
  </si>
  <si>
    <t>https://ebookcentral.proquest.com/lib/viva-active/detail.action?docID=1910189</t>
  </si>
  <si>
    <t>Identities on the Move : Contemporary Representations of New Sexualities and Gender Identities</t>
  </si>
  <si>
    <t>Castro-Borrego, Silvia Pilar;Romero-Ruiz, Maria Isabel;Aguilar, María José Coperías;Barrow, Logie;Bazi, Mariam;Carrasco, Rocío Carrasco;Carretero, Concepción Parrondo;Gillman, Laura;Grela, Eduardo Barros;Hernandez, Inmaculada Pineda</t>
  </si>
  <si>
    <t>Sex role in mass media</t>
  </si>
  <si>
    <t>https://ebookcentral.proquest.com/lib/viva-active/detail.action?docID=1910589</t>
  </si>
  <si>
    <t>Gaming at the Edge : Sexuality and Gender at the Margins of Gamer Culture</t>
  </si>
  <si>
    <t>Shaw, Adrienne</t>
  </si>
  <si>
    <t>Video games -- Social aspects. ; Electronic games -- Social aspects. ; Gender identity. ; Sex role. ; Sex.</t>
  </si>
  <si>
    <t>https://ebookcentral.proquest.com/lib/viva-active/detail.action?docID=1912575</t>
  </si>
  <si>
    <t>Globalization, Gender, and Media : Formations of the Sexual and Violence in Understanding Globalization</t>
  </si>
  <si>
    <t>Parikka, Tuija</t>
  </si>
  <si>
    <t>https://ebookcentral.proquest.com/lib/viva-active/detail.action?docID=1921957</t>
  </si>
  <si>
    <t>Gender and Ageing : Southeast Asian Perspectives</t>
  </si>
  <si>
    <t>Institute of Southeast Asian Studies</t>
  </si>
  <si>
    <t>Devasahayam, Theresa W.</t>
  </si>
  <si>
    <t>Older people--Southeast Asia--Congresses.</t>
  </si>
  <si>
    <t>https://ebookcentral.proquest.com/lib/viva-active/detail.action?docID=1925274</t>
  </si>
  <si>
    <t>50 Great Myths of Human Sexuality</t>
  </si>
  <si>
    <t>Schwartz, Pepper;Kempner, Martha</t>
  </si>
  <si>
    <t>Sex -- Miscellanea. ; Sex customs -- Miscellanea. ; Man-woman relationships -- Miscellanea.</t>
  </si>
  <si>
    <t>https://ebookcentral.proquest.com/lib/viva-active/detail.action?docID=1926644</t>
  </si>
  <si>
    <t>Gender Convergence in the Labor Market</t>
  </si>
  <si>
    <t>Research in Labor Economics Ser.</t>
  </si>
  <si>
    <t>Polachek, Solomon W.;Tatsiramos, Konstantinos;Zimmermann, Klaus F.</t>
  </si>
  <si>
    <t>Labor market -- Sex differences.</t>
  </si>
  <si>
    <t>https://ebookcentral.proquest.com/lib/viva-active/detail.action?docID=1953297</t>
  </si>
  <si>
    <t>Sex and Unisex : Fashion, Feminism, and the Sexual Revolution</t>
  </si>
  <si>
    <t>Clothing and dress -- Sex differences -- United States. ; Clothing and dress -- Social aspects -- United States. ; Fashion -- Social aspects -- United States. ; Fashion -- United States. ; Feminism -- United States. ; Sex -- United States. ; Sex role -- United States.</t>
  </si>
  <si>
    <t>https://ebookcentral.proquest.com/lib/viva-active/detail.action?docID=1953311</t>
  </si>
  <si>
    <t>Transgender Communication Studies : Histories, Trends, and Trajectories</t>
  </si>
  <si>
    <t>Capuzza, Jamie C.;Spencer, Leland G.,;Adams, Mary Alice;Allen, Jace;Barnett, Joshua Trey;Booth, E. Tristan;Campbell, Peter Odell;Capuzza, Jamie C.;Dixon, Jenny;Dunn, Thomas R.</t>
  </si>
  <si>
    <t>Transgenderism. ; Transgenderism on television. ; Transgender people -- Identity. ; Interpersonal communication.</t>
  </si>
  <si>
    <t>https://ebookcentral.proquest.com/lib/viva-active/detail.action?docID=1961532</t>
  </si>
  <si>
    <t>The Nuns of Sant' Ambrogio : The True Story of a Convent in Scandal</t>
  </si>
  <si>
    <t>Wolf, Hubert</t>
  </si>
  <si>
    <t>Sant''Ambrogio della Massima (Monastery : Rome, Italy) -- History -- 19th century. ; Monasticism and religious orders for women -- Italy -- Rome -- History -- 19th century. ; Sex scandals -- Italy -- Rome -- History -- 19th century.</t>
  </si>
  <si>
    <t>https://ebookcentral.proquest.com/lib/viva-active/detail.action?docID=1961752</t>
  </si>
  <si>
    <t>Sex and the Soul, Updated Edition : Juggling Sexuality, Spirituality, Romance, and Religion on America's College Campuses</t>
  </si>
  <si>
    <t>Freitas, Donna</t>
  </si>
  <si>
    <t>Church college students - Sexual behavior - United States</t>
  </si>
  <si>
    <t>https://ebookcentral.proquest.com/lib/viva-active/detail.action?docID=1961791</t>
  </si>
  <si>
    <t>Taking Liberties : Gender, Transgressive Patriotism, and Polish Drama, 1786-1989</t>
  </si>
  <si>
    <t>Polish and Polish-American Studies Ser.</t>
  </si>
  <si>
    <t>Filipowicz, Halina</t>
  </si>
  <si>
    <t>Polish drama -- History and criticism. ; Patriotism in literature. ; Gender identity in literature. ; Theater -- Poland -- History.</t>
  </si>
  <si>
    <t>https://ebookcentral.proquest.com/lib/viva-active/detail.action?docID=1980736</t>
  </si>
  <si>
    <t>Gender, Imperialism and Global Exchanges</t>
  </si>
  <si>
    <t>Miescher, Stephan F.;Mitchell, Michele;Shibusawa, Naoko</t>
  </si>
  <si>
    <t>Sex role -- History. ; Imperialism -- History.</t>
  </si>
  <si>
    <t>https://ebookcentral.proquest.com/lib/viva-active/detail.action?docID=1987004</t>
  </si>
  <si>
    <t>Black Female Sexualities</t>
  </si>
  <si>
    <t>Melancon, Trimiko;Braxton, Joanne M.;Harris-Perry, Melissa;Brown, Kimberly Juanita;Patterson, Courtney J.;Lewis, Mel Michelle;Jones, Esther L.;Cruz, Ariane;Little, Mahaliah Ayana;Ewing, K. T.</t>
  </si>
  <si>
    <t>African American women -- Sexual behavior. ; African American women -- Social conditions. ; Sex role. ; Identity (Psychology) ; Feminism.</t>
  </si>
  <si>
    <t>https://ebookcentral.proquest.com/lib/viva-active/detail.action?docID=1987041</t>
  </si>
  <si>
    <t>LGBT Health Inequalities : International Perspectives in Social Work</t>
  </si>
  <si>
    <t>Fish, Julie;Karban, Kate</t>
  </si>
  <si>
    <t>Social work with sexual minorities. ; Sexual minorities -- Health and hygiene.</t>
  </si>
  <si>
    <t>https://ebookcentral.proquest.com/lib/viva-active/detail.action?docID=2005988</t>
  </si>
  <si>
    <t>Already Doing It : Intellectual Disability and Sexual Agency</t>
  </si>
  <si>
    <t>Gill, Michael</t>
  </si>
  <si>
    <t>Social Science; Medicine; Psychology</t>
  </si>
  <si>
    <t>Mental retardation. ; People with mental disabilities -- Sexual behavior.</t>
  </si>
  <si>
    <t>https://ebookcentral.proquest.com/lib/viva-active/detail.action?docID=2011451</t>
  </si>
  <si>
    <t>Overcoming Alcohol Problems : A Couples-Focused Program Workbook</t>
  </si>
  <si>
    <t>Treatments That Work</t>
  </si>
  <si>
    <t>McCrady, Barbara S.;Epstein, Elizabeth E.</t>
  </si>
  <si>
    <t>Alcoholism--Treatment.</t>
  </si>
  <si>
    <t>https://ebookcentral.proquest.com/lib/viva-active/detail.action?docID=2012735</t>
  </si>
  <si>
    <t>Handsome Heroes &amp; Vile Villains : Men in Disney's Feature Animation</t>
  </si>
  <si>
    <t>Davis, Amy M.</t>
  </si>
  <si>
    <t>Disney characters - Feminist criticism</t>
  </si>
  <si>
    <t>https://ebookcentral.proquest.com/lib/viva-active/detail.action?docID=2027044</t>
  </si>
  <si>
    <t>Biopsy Interpretation of the Prostate</t>
  </si>
  <si>
    <t>Wolters Kluwer</t>
  </si>
  <si>
    <t>Epstein, Jonathan I.;Netto, George J.</t>
  </si>
  <si>
    <t>Prostate--Cancer--Diagnosis.</t>
  </si>
  <si>
    <t>https://ebookcentral.proquest.com/lib/viva-active/detail.action?docID=2035687</t>
  </si>
  <si>
    <t>Elusive Equality : Gender, Citizenship, and the Limits of Democracy in Czechoslovokia, 1918-1950</t>
  </si>
  <si>
    <t>University of Pittsburgh Press</t>
  </si>
  <si>
    <t>Russian and East European Studies</t>
  </si>
  <si>
    <t>Feinberg, Melissa</t>
  </si>
  <si>
    <t>Feminism -- Czechoslovakia -- History. ; Women -- Czechoslovakia -- Social conditions. ; Women’s rights -- Czechoslovakia.</t>
  </si>
  <si>
    <t>https://ebookcentral.proquest.com/lib/viva-active/detail.action?docID=2038136</t>
  </si>
  <si>
    <t>How the Soviet Man Was Unmade : Cultural Fantasy and Male Subjectivity under Stalin</t>
  </si>
  <si>
    <t>Kaganovsky, Lilya</t>
  </si>
  <si>
    <t>Masculinity in literature. ; Masculinity in motion pictures. ; Men in literature. ; Men in motion pictures. ; Motion pictures -- Soviet Union -- History. ; Russian literature -- 20th century -- History and criticism. ; Socialist realism -- Soviet Union. ; Socialist realism in literature.</t>
  </si>
  <si>
    <t>https://ebookcentral.proquest.com/lib/viva-active/detail.action?docID=2038836</t>
  </si>
  <si>
    <t>The Classification of Sex : Alfred Kinsey and the Organization of Knowledge</t>
  </si>
  <si>
    <t>Drucker, Donna J.</t>
  </si>
  <si>
    <t>Classification of sciences. ; Kinsey, Alfred C. (Alfred Charles), 1894-1956. ; Research -- United States. ; Science -- Methodology. ; Sexology -- United States.</t>
  </si>
  <si>
    <t>https://ebookcentral.proquest.com/lib/viva-active/detail.action?docID=2041620</t>
  </si>
  <si>
    <t>Same-Sex Sexuality in Later Medieval English Culture</t>
  </si>
  <si>
    <t>Crossing Boundaries Ser.</t>
  </si>
  <si>
    <t>Linkinen, Tom</t>
  </si>
  <si>
    <t>Homosexuality--Moral and ethical aspects.</t>
  </si>
  <si>
    <t>https://ebookcentral.proquest.com/lib/viva-active/detail.action?docID=2042162</t>
  </si>
  <si>
    <t>Very Private and Public Relations</t>
  </si>
  <si>
    <t>Thorogood Publishing</t>
  </si>
  <si>
    <t>Jim Dunn</t>
  </si>
  <si>
    <t>Dunn, Jim. ; Public relations personnel -- Scotland -- Glasgow -- Biography. ; Gay men -- Scotland -- Glasgow -- Biography. ; Tourism -- Public relations.</t>
  </si>
  <si>
    <t>https://ebookcentral.proquest.com/lib/viva-active/detail.action?docID=2054208</t>
  </si>
  <si>
    <t>Gender and Sexuality in Indigenous North America, 1400-1850</t>
  </si>
  <si>
    <t>University of South Carolina Press</t>
  </si>
  <si>
    <t>Yarbrough, Fay A.;Slater, Sandra</t>
  </si>
  <si>
    <t>Gender identity--United States--History.</t>
  </si>
  <si>
    <t>https://ebookcentral.proquest.com/lib/viva-active/detail.action?docID=2054803</t>
  </si>
  <si>
    <t>Shrill Hurrahs : Women, Gender, and Racial Violence in South Carolina, 1865-1900</t>
  </si>
  <si>
    <t>Gillin, Kate Côté;Gillin, Kate Côté</t>
  </si>
  <si>
    <t>African American women--South Carolina--Social conditions--19th century. ; African American women--Violence against--South Carolina--19th century. ; HISTORY / United States / State &amp; Local / South (AL, AR, FL, GA, KY, LA, MS, NC, SC, TN, VA, WV). ; Reconstruction (U.S. history, 1865-1877)--Social aspects--South Carolina. ; Sex role--South Carolina--History--19th century. ; SOCIAL SCIENCE / Women''s Studies.</t>
  </si>
  <si>
    <t>https://ebookcentral.proquest.com/lib/viva-active/detail.action?docID=2054869</t>
  </si>
  <si>
    <t>Pedophilia and Adult–Child Sex : A Philosophical Analysis</t>
  </si>
  <si>
    <t>Kershnar, Stephen</t>
  </si>
  <si>
    <t>Child sexual abuse. ; Pedophilia.</t>
  </si>
  <si>
    <t>https://ebookcentral.proquest.com/lib/viva-active/detail.action?docID=2055685</t>
  </si>
  <si>
    <t>Configuring Masculinity in Theory and Literary Practice</t>
  </si>
  <si>
    <t>DQR Studies in Literature Ser.</t>
  </si>
  <si>
    <t>Horlacher, Stefan</t>
  </si>
  <si>
    <t>Literature -- 19th century -- History and criticism. ; Literature -- 20th century -- History and criticism. ; Literature. ; Postmodernism (Literature).</t>
  </si>
  <si>
    <t>https://ebookcentral.proquest.com/lib/viva-active/detail.action?docID=2063795</t>
  </si>
  <si>
    <t>Urban Reform and Sexual Vice in Progressive-Era Philadelphia : The Faithful and the Fallen</t>
  </si>
  <si>
    <t>Adams, James H.</t>
  </si>
  <si>
    <t>Philadelphia (Pa.) -- Moral conditions -- History -- 19th century. ; Philadelphia (Pa.) -- Moral conditions -- History -- 20th century. ; Prostitution -- Pennsylvania -- Philadelphia -- History -- 20th century. ; Vice control -- Pennsylvania -- Philadelphia -- History -- 20th century.</t>
  </si>
  <si>
    <t>https://ebookcentral.proquest.com/lib/viva-active/detail.action?docID=2064141</t>
  </si>
  <si>
    <t>Engaging Men in Building Gender Equality</t>
  </si>
  <si>
    <t>Flood, Michael;Howson,  Richard</t>
  </si>
  <si>
    <t>Equality. ; Masculinity. ; Men. ; Sex role.</t>
  </si>
  <si>
    <t>https://ebookcentral.proquest.com/lib/viva-active/detail.action?docID=2076521</t>
  </si>
  <si>
    <t>Men in the Bible and Related Literature : In the Grip of Specific Males</t>
  </si>
  <si>
    <t>Greene, John T.</t>
  </si>
  <si>
    <t>Bible -- History. ; Men in the bible. ; Religion.</t>
  </si>
  <si>
    <t>https://ebookcentral.proquest.com/lib/viva-active/detail.action?docID=2076537</t>
  </si>
  <si>
    <t>Science, Gender and History : The Fantastic in Mary Shelley and Margaret Atwood</t>
  </si>
  <si>
    <t>Banerjee, Suparna</t>
  </si>
  <si>
    <t>Fantasy literature, English -- History and criticism. ; Fantasy literature, English -- Study and teaching (Elementary)</t>
  </si>
  <si>
    <t>https://ebookcentral.proquest.com/lib/viva-active/detail.action?docID=2076801</t>
  </si>
  <si>
    <t>Shifting Visions : Gender and Discourses</t>
  </si>
  <si>
    <t>Jule, Allyson</t>
  </si>
  <si>
    <t>Gender identity. ; Identity (Psychology) ; Discourse analysis. ; Sex role. ; Language and languages -- Sex differences.</t>
  </si>
  <si>
    <t>https://ebookcentral.proquest.com/lib/viva-active/detail.action?docID=2076802</t>
  </si>
  <si>
    <t>Hooking Up : Sex, Dating, and Relationships on Campus</t>
  </si>
  <si>
    <t>(none) Ser.</t>
  </si>
  <si>
    <t>Bogle, Kathleen A.</t>
  </si>
  <si>
    <t>College students - Sexual behavior - United States</t>
  </si>
  <si>
    <t>https://ebookcentral.proquest.com/lib/viva-active/detail.action?docID=2081642</t>
  </si>
  <si>
    <t>The Making of a Man : Notes on Transsexuality</t>
  </si>
  <si>
    <t>Februari, Maxim;Brown, Andy</t>
  </si>
  <si>
    <t>Februari, M.</t>
  </si>
  <si>
    <t>https://ebookcentral.proquest.com/lib/viva-active/detail.action?docID=2096586</t>
  </si>
  <si>
    <t>Evolution of Vulnerability : Implications for Sex Differences in Health and Development</t>
  </si>
  <si>
    <t>Elsevier Science &amp; Technology</t>
  </si>
  <si>
    <t>Geary, David C.</t>
  </si>
  <si>
    <t>Business/Management; Psychology</t>
  </si>
  <si>
    <t>Health surveys. ; Risk assessment. ; Risk management. ; Sex factors in disease. ; Work environment.</t>
  </si>
  <si>
    <t>https://ebookcentral.proquest.com/lib/viva-active/detail.action?docID=2111106</t>
  </si>
  <si>
    <t>Sex, Love, and Friendship : Studies of the Society for the Philosophy of Sex and Love: 1993-2003</t>
  </si>
  <si>
    <t>Histories and Addresses of Philosophical Societies Ser.</t>
  </si>
  <si>
    <t>McEvoy, Adrianne Leigh</t>
  </si>
  <si>
    <t>https://ebookcentral.proquest.com/lib/viva-active/detail.action?docID=3008275</t>
  </si>
  <si>
    <t>Queer Ecologies : Sex, Nature, Politics, Desire</t>
  </si>
  <si>
    <t>Mortimer-Sandilands, Catriona;Erickson, Bruce;Alaimo, Stacy;Bell, David;Di Chiro, Giovanna;Gosine, Andil;Hogan, Katie;Ingram, Gordon Brent;Stein, Rachel;Sturgeon, Noël</t>
  </si>
  <si>
    <t>Human ecology</t>
  </si>
  <si>
    <t>https://ebookcentral.proquest.com/lib/viva-active/detail.action?docID=3014847</t>
  </si>
  <si>
    <t>Murder, the Media, and the Politics of Public Feelings : Remembering Matthew Shepard and James Byrd Jr</t>
  </si>
  <si>
    <t>Petersen, Jennifer</t>
  </si>
  <si>
    <t>Social Science; Journalism</t>
  </si>
  <si>
    <t>Shepard, Matthew, -- d. 1998. ; Byrd, James, -- d. 1998. ; Hate crimes -- United States -- Public opinion. ; Gays -- Crimes against -- United States. ; African Americans -- Crimes against. ; Mass media and public opinion -- United States. ; Mass media and gays -- United States.</t>
  </si>
  <si>
    <t>https://ebookcentral.proquest.com/lib/viva-active/detail.action?docID=3014854</t>
  </si>
  <si>
    <t>Modern Argentine Masculinities</t>
  </si>
  <si>
    <t>Rocha, Carolina</t>
  </si>
  <si>
    <t>Masculinity in popular culture -- Argentina.</t>
  </si>
  <si>
    <t>https://ebookcentral.proquest.com/lib/viva-active/detail.action?docID=3014907</t>
  </si>
  <si>
    <t>Sex Offenders and Self-Control : Explaining Sexual Violence</t>
  </si>
  <si>
    <t>Cleary, Shawna</t>
  </si>
  <si>
    <t>Sex offenders -- Psychology. ; Sex offenders -- Rehabilitation.</t>
  </si>
  <si>
    <t>https://ebookcentral.proquest.com/lib/viva-active/detail.action?docID=3016765</t>
  </si>
  <si>
    <t>Gendered Processes : Korean Immigrant Small Business Ownership</t>
  </si>
  <si>
    <t>Lee, Eunju</t>
  </si>
  <si>
    <t>Korean American business enterprises -- New York (State) -- New York Metropolitan Area. ; Family-owned business enterprises -- New York (State) -- New York Metropolitan Area. ; Korean American businesspeople -- New York (State) -- New York Metropolitan Area. ; Women-owned business enterprises -- New York (State) -- New York Metropolitan Area. ; Korean American women -- Social conditions -- New York (State) -- New York Metropolitan Area. ; Women foreign workers -- New York (State) -- New York Metropolitan Area. ; Sex discrimination against women -- New York (State) -- New York Metropolitan Area.</t>
  </si>
  <si>
    <t>https://ebookcentral.proquest.com/lib/viva-active/detail.action?docID=3016777</t>
  </si>
  <si>
    <t>Reporting Sexual Assault : A Social Ecology Perspective</t>
  </si>
  <si>
    <t>Ménard, Kim S.</t>
  </si>
  <si>
    <t>Rape -- Investigation -- United States. ; Police questioning -- United States. ; Criminal justice, Administration of -- United States. ; Criminal statistics -- United States.</t>
  </si>
  <si>
    <t>https://ebookcentral.proquest.com/lib/viva-active/detail.action?docID=3016786</t>
  </si>
  <si>
    <t>American Dream-- For Men Only? : Gender, Immigration, and the Assimilation of Israelis in the United States</t>
  </si>
  <si>
    <t>New Americans : Recent Immigration and American Society</t>
  </si>
  <si>
    <t xml:space="preserve">Lev Ari, Lilach;Ari, Lilach Lev </t>
  </si>
  <si>
    <t>Israelis -- United States. ; Couples -- Israel -- Sex roles. ; Sexism -- Israel. ; Assimilation (Sociology) -- United States. ; Israel -- Emigration and immigration. ; United States -- Emigration and immigration.</t>
  </si>
  <si>
    <t>https://ebookcentral.proquest.com/lib/viva-active/detail.action?docID=3016863</t>
  </si>
  <si>
    <t>Don't Ask, Don't Tell: Background and Issues on Gays in the Military</t>
  </si>
  <si>
    <t>Nova Science Publishers, Incorporated</t>
  </si>
  <si>
    <t>Defense, Security and Strategies</t>
  </si>
  <si>
    <t>Davis, Brandon A.</t>
  </si>
  <si>
    <t>Gay military personnel--United States.</t>
  </si>
  <si>
    <t>https://ebookcentral.proquest.com/lib/viva-active/detail.action?docID=3017978</t>
  </si>
  <si>
    <t>Contemporary Perspectives on Legal Regulation of Sexual Behavior : Psycho-legal Research and Analysis</t>
  </si>
  <si>
    <t>Laws and Legislation</t>
  </si>
  <si>
    <t>Miller, Monica K.</t>
  </si>
  <si>
    <t>Sex and law -- United States. ; Sex customs -- United States.</t>
  </si>
  <si>
    <t>https://ebookcentral.proquest.com/lib/viva-active/detail.action?docID=3018349</t>
  </si>
  <si>
    <t>Masculinity : Gender Roles, Characteristics and Coping</t>
  </si>
  <si>
    <t>Buchholz, Zachary D.;Boyce, Samantha K.</t>
  </si>
  <si>
    <t>Masculinity. ; Sex role.</t>
  </si>
  <si>
    <t>https://ebookcentral.proquest.com/lib/viva-active/detail.action?docID=3018584</t>
  </si>
  <si>
    <t>Sexually Transmitted Diseases</t>
  </si>
  <si>
    <t>Markos, A.R.</t>
  </si>
  <si>
    <t>Sexually transmitted diseases. ; Communicable diseases.</t>
  </si>
  <si>
    <t>https://ebookcentral.proquest.com/lib/viva-active/detail.action?docID=3019006</t>
  </si>
  <si>
    <t>Same-Sex Issues</t>
  </si>
  <si>
    <t>Social Issues, Justice and Status</t>
  </si>
  <si>
    <t>Albertson, Jason V.</t>
  </si>
  <si>
    <t>Gay rights--United States.</t>
  </si>
  <si>
    <t>https://ebookcentral.proquest.com/lib/viva-active/detail.action?docID=3019202</t>
  </si>
  <si>
    <t>Fatherhood: Roles, Responsibilities and Rewards</t>
  </si>
  <si>
    <t>Family Issues in the 21st Century</t>
  </si>
  <si>
    <t>Leyton, Chelsea H.</t>
  </si>
  <si>
    <t>Fatherhood. ; Fathers.</t>
  </si>
  <si>
    <t>https://ebookcentral.proquest.com/lib/viva-active/detail.action?docID=3019726</t>
  </si>
  <si>
    <t>Medical Career Choice: A Gender Study</t>
  </si>
  <si>
    <t>Millan, Luiz Roberto</t>
  </si>
  <si>
    <t>Universidade de São Paulo. -- Faculdade de Medicina. ; Women physicians -- Brazil -- São Paulo.</t>
  </si>
  <si>
    <t>https://ebookcentral.proquest.com/lib/viva-active/detail.action?docID=3020803</t>
  </si>
  <si>
    <t>Eating Disorder in Males</t>
  </si>
  <si>
    <t>Eating Disorders in the 21st Century</t>
  </si>
  <si>
    <t xml:space="preserve">Strumia, Renata;Emilia, Manzato;Malvina, Gualandi;Strumia, Renata </t>
  </si>
  <si>
    <t>Eating disorders in men. ; Men -- Psychology.</t>
  </si>
  <si>
    <t>https://ebookcentral.proquest.com/lib/viva-active/detail.action?docID=3021092</t>
  </si>
  <si>
    <t>Masculinity and Femininity: Stereotypes/Myths, Psychology and Role of Culture</t>
  </si>
  <si>
    <t>Aston, Jacob M.;Vasquez, Estela</t>
  </si>
  <si>
    <t>Masculinity. ; Femininity. ; Sex role. ; Identity (Psychology)</t>
  </si>
  <si>
    <t>https://ebookcentral.proquest.com/lib/viva-active/detail.action?docID=3021244</t>
  </si>
  <si>
    <t>Sexual Minority Research in the New Millennium</t>
  </si>
  <si>
    <t>Social Justice, Equality and Empowerment</t>
  </si>
  <si>
    <t xml:space="preserve">Morrison, Todd G.;Morrison, Melanie A.;Carrigan, Mark A.;McDermott, Daragh T. </t>
  </si>
  <si>
    <t>Sexual minorities.</t>
  </si>
  <si>
    <t>https://ebookcentral.proquest.com/lib/viva-active/detail.action?docID=3022038</t>
  </si>
  <si>
    <t>Fraternity Gang Rape : Sex, Brotherhood, and Privilege on Campus</t>
  </si>
  <si>
    <t>Sanday, Peggy Reeves</t>
  </si>
  <si>
    <t>Gang rape - United States</t>
  </si>
  <si>
    <t>https://ebookcentral.proquest.com/lib/viva-active/detail.action?docID=3025593</t>
  </si>
  <si>
    <t>Gender Violence : Interdisciplinary Perspectives</t>
  </si>
  <si>
    <t>Schiffman, Jessica;O'toole, Laura;Edwards, Margie;Edwards, Margie L. Kiter</t>
  </si>
  <si>
    <t>Women -- Violence against. ; Family violence. ; Sex crimes. ; Pornography -- Social aspects. ; Women -- Violence against -- United States. ; Family violence -- United States. ; Sex crimes -- United States.</t>
  </si>
  <si>
    <t>https://ebookcentral.proquest.com/lib/viva-active/detail.action?docID=3025607</t>
  </si>
  <si>
    <t>Disarming Manhood : Roots of Ethical Resistance</t>
  </si>
  <si>
    <t>Swallow Press</t>
  </si>
  <si>
    <t>Richards, David A.J.</t>
  </si>
  <si>
    <t>Tolstoy, Leo, -- graf, -- 1828-1910. ; Garrison, William Lloyd, -- 1805-1879. ; Gandhi, -- Mahatma, -- 1869-1948. ; King, Martin Luther, -- Jr., -- 1929-1968. ; Churchill, Winston, -- 1874-1965. ; Passive resistance -- Case studies. ; Feminist theory.</t>
  </si>
  <si>
    <t>https://ebookcentral.proquest.com/lib/viva-active/detail.action?docID=3026834</t>
  </si>
  <si>
    <t>Negotiating Power and Privilege : Career Igbo Women in Contemporary Nigeria</t>
  </si>
  <si>
    <t>Center for International Studies, Ohio University</t>
  </si>
  <si>
    <t>Okeke, Philomina E.</t>
  </si>
  <si>
    <t>Women, Igbo -- Social conditions. ; Women, Igbo -- Economic conditions. ; Women, Igbo -- Employment. ; Women employees -- Nigeria. ; Working mothers -- Nigeria. ; Sex role -- Government policy -- Nigeria. ; Women -- Government policy -- Nigeria.</t>
  </si>
  <si>
    <t>https://ebookcentral.proquest.com/lib/viva-active/detail.action?docID=3026844</t>
  </si>
  <si>
    <t>Loving Mountains, Loving Men</t>
  </si>
  <si>
    <t>Mann, Jeff</t>
  </si>
  <si>
    <t>Mann, Jeff. ; Mann, Jeff -- Childhood and youth. ; Mann, Jeff -- Homes and haunts -- West Virginia. ; Mountain life -- Appalachian Region, Southern. ; Poets, American -- 20th century -- Biography. ; College teachers -- United States -- Biography. ; Gay men -- United States -- Biography.</t>
  </si>
  <si>
    <t>https://ebookcentral.proquest.com/lib/viva-active/detail.action?docID=3026911</t>
  </si>
  <si>
    <t>Gender and the Political Opportunities of Democratization in South Korea</t>
  </si>
  <si>
    <t>Women and democracy -- Korea (South) ; Feminism -- Korea (South) ; Women -- Political activity -- Korea (South) ; Women in development -- Korea (South) ; Democratization -- Korea (South)</t>
  </si>
  <si>
    <t>https://ebookcentral.proquest.com/lib/viva-active/detail.action?docID=3027801</t>
  </si>
  <si>
    <t>From the Inside Out : Radical Gender Transformation, FTM and Beyond</t>
  </si>
  <si>
    <t>Manic D Press, Inc.</t>
  </si>
  <si>
    <t>Diamond, Morty</t>
  </si>
  <si>
    <t>Transgender people''s writings, American. ; Transgender people -- Literary collections. ; Transgenderism -- Literary collections. ; Gender identity -- Literary collections. ; American literature -- 21st century.</t>
  </si>
  <si>
    <t>https://ebookcentral.proquest.com/lib/viva-active/detail.action?docID=3028364</t>
  </si>
  <si>
    <t>EleMENtary School : (Hyper)Masculinity in a Feminized Context</t>
  </si>
  <si>
    <t>Richardson, Scott</t>
  </si>
  <si>
    <t>Sex differences in education.</t>
  </si>
  <si>
    <t>https://ebookcentral.proquest.com/lib/viva-active/detail.action?docID=3034745</t>
  </si>
  <si>
    <t>Gendered Voices : Reflections on Gender and Education in South Africa and Sudan</t>
  </si>
  <si>
    <t>Comparative and International Education: Diversity of Voices Ser.</t>
  </si>
  <si>
    <t>Nomlomo, V.;Holmarsdottir, Halla B.;Ibrahim Farag, Alawia;Desai, Z.;Nomlomo, V.</t>
  </si>
  <si>
    <t>Gender identity in education--South Africa.</t>
  </si>
  <si>
    <t>https://ebookcentral.proquest.com/lib/viva-active/detail.action?docID=3034806</t>
  </si>
  <si>
    <t>Leaders in Gender and Education : Intellectual Self-Portraits</t>
  </si>
  <si>
    <t>Leaders in Educational Studies</t>
  </si>
  <si>
    <t>Skelton, Christine;Weaver-Hightower, Marcus B.;Weaver-Hightower, Marcus B.</t>
  </si>
  <si>
    <t>Gender identity in education. ; Sex differences in education.</t>
  </si>
  <si>
    <t>https://ebookcentral.proquest.com/lib/viva-active/detail.action?docID=3034869</t>
  </si>
  <si>
    <t>Gender and Pop Culture : A Text-Reader</t>
  </si>
  <si>
    <t>Teaching Gender Ser.</t>
  </si>
  <si>
    <t>Leavy, Patricia;Trier-Bieniek, Adrienne;Leavy, Patricia</t>
  </si>
  <si>
    <t>Education; Fine Arts</t>
  </si>
  <si>
    <t>Popular culture -- Study and teaching. ; Sex role in mass media -- Congresses.</t>
  </si>
  <si>
    <t>https://ebookcentral.proquest.com/lib/viva-active/detail.action?docID=3034953</t>
  </si>
  <si>
    <t>Troubling Gender : Youth and Cumbiain Argentina's Music Scene</t>
  </si>
  <si>
    <t>Vila, Pablo;Seman, Pablo;Martin, Eloisa;Carozzi, María Julia</t>
  </si>
  <si>
    <t>Popular music - Social aspects - Argentina</t>
  </si>
  <si>
    <t>https://ebookcentral.proquest.com/lib/viva-active/detail.action?docID=3037694</t>
  </si>
  <si>
    <t>Can't I Love What I Criticize? : The Masculine and Morrison</t>
  </si>
  <si>
    <t>University of Georgia Press</t>
  </si>
  <si>
    <t>Mayberry, Susan Neal</t>
  </si>
  <si>
    <t>Morrison, Toni -- Criticism and interpretation. ; African American men in literature. ; Masculinity in literature.</t>
  </si>
  <si>
    <t>https://ebookcentral.proquest.com/lib/viva-active/detail.action?docID=3038842</t>
  </si>
  <si>
    <t>Princes of Cotton : Four Diaries of Young Men in the South, 1848-1860</t>
  </si>
  <si>
    <t>Berry, Stephen</t>
  </si>
  <si>
    <t>Young men -- Southern States -- History -- 19th century -- Biography. ; Young men -- Southern States -- Psychology. ; Sex role -- Southern States -- History -- 19th century.</t>
  </si>
  <si>
    <t>https://ebookcentral.proquest.com/lib/viva-active/detail.action?docID=3038852</t>
  </si>
  <si>
    <t>Tennessee Women : Their Lives and Times</t>
  </si>
  <si>
    <t>Southern Women : Their Lives and Times</t>
  </si>
  <si>
    <t>Freeman, Sarah Wilkerson;Bond, Beverly Greene</t>
  </si>
  <si>
    <t>Women -- Tennessee -- Biography. ; Women -- Tennessee -- History. ; Tennessee -- Biography.</t>
  </si>
  <si>
    <t>https://ebookcentral.proquest.com/lib/viva-active/detail.action?docID=3038924</t>
  </si>
  <si>
    <t>Gender-Based Explosions : The Nexus Between Muslim Masculinities, Jihadist Islamism and Terrorism</t>
  </si>
  <si>
    <t>UNUP</t>
  </si>
  <si>
    <t>Aslam, Maleeha</t>
  </si>
  <si>
    <t>Masculinity -- Islamic countries. ; Masculinity -- Religious aspects -- Islam. ; Masculinity -- Pakistan. ; Muslim men -- Pakistan -- Islamabad. ; Terrorism -- Religious aspects -- Islam. ; Islam and politics. ; Jihad.</t>
  </si>
  <si>
    <t>https://ebookcentral.proquest.com/lib/viva-active/detail.action?docID=3039656</t>
  </si>
  <si>
    <t>Boys Love Manga and Beyond : History, Culture, and Community in Japan</t>
  </si>
  <si>
    <t xml:space="preserve">McLelland, Mark;Nagaike, Kazumi;Suganuma, Katsuhiko;Welker, James </t>
  </si>
  <si>
    <t>Young gay men -- Comic books, strips, etc. -- Japan. ; Romance comic books, strips, etc. -- Japan. ; Women cartoonists -- Japan. ; Young women -- Books and reading -- Japan. ; Girls -- Books and reading -- Japan. ; Sex in popular culture -- Japan.</t>
  </si>
  <si>
    <t>https://ebookcentral.proquest.com/lib/viva-active/detail.action?docID=3039949</t>
  </si>
  <si>
    <t>East Meets Black : Asian and Black Masculinities in the Post-Civil Rights Era</t>
  </si>
  <si>
    <t>Chon-Smith, Chong</t>
  </si>
  <si>
    <t>African Americans -- Relations with Asian Americans. ; Asian Americans -- Ethnic identity. ; African American men in popular culture. ; Asian American men in popular culture. ; Masculinity -- Social aspects -- United States. ; American literature -- Minority authors -- History and criticism. ; United States -- Race relations -- History -- 20th century.</t>
  </si>
  <si>
    <t>https://ebookcentral.proquest.com/lib/viva-active/detail.action?docID=3039959</t>
  </si>
  <si>
    <t>Revisiting Sexualities in the 21st Century</t>
  </si>
  <si>
    <t>Phellas, Constantinos N.</t>
  </si>
  <si>
    <t>https://ebookcentral.proquest.com/lib/viva-active/detail.action?docID=3051825</t>
  </si>
  <si>
    <t>On Female Body Experience : Throwing Like a Girl and Other Essays</t>
  </si>
  <si>
    <t>Young, Iris Marion</t>
  </si>
  <si>
    <t>Feminist theory. ; Women -- Psychology. ; Women -- Social conditions. ; Human body -- Social aspects. ; Sex role.</t>
  </si>
  <si>
    <t>https://ebookcentral.proquest.com/lib/viva-active/detail.action?docID=3052002</t>
  </si>
  <si>
    <t>The Love of David and Jonathan : Ideology, Text, Reception</t>
  </si>
  <si>
    <t>BibleWorld Ser.</t>
  </si>
  <si>
    <t>Harding, James E.</t>
  </si>
  <si>
    <t>Jonathan</t>
  </si>
  <si>
    <t>https://ebookcentral.proquest.com/lib/viva-active/detail.action?docID=3061099</t>
  </si>
  <si>
    <t>Homo Americanus : Ernest Hemingway, Tennessee Williams, and Queer Masculinities</t>
  </si>
  <si>
    <t>Bak, John S.</t>
  </si>
  <si>
    <t>Hemingway, Ernest, -- 1899-1961. ; Williams, Tennessee, -- 1911-1983. ; Homosexuality and literature -- United States -- History -- 20th century.</t>
  </si>
  <si>
    <t>https://ebookcentral.proquest.com/lib/viva-active/detail.action?docID=3115887</t>
  </si>
  <si>
    <t>Shakespeare Re-Dressed : Cross-Gender Casting in Contemporary Performance</t>
  </si>
  <si>
    <t>Bulman, James C.</t>
  </si>
  <si>
    <t>Shakespeare, William, -- 1564-1616 -- Dramatic production. ; Shakespeare, William, -- 1564-1616 -- Stage history -- 1950- ; Theater -- Casting -- History -- 20th century. ; Sex role in the theater. ; Gender identity in the theater. ; Homosexuality and theater. ; Feminism and theater.</t>
  </si>
  <si>
    <t>https://ebookcentral.proquest.com/lib/viva-active/detail.action?docID=3115994</t>
  </si>
  <si>
    <t>Intersex : A Perilous Difference</t>
  </si>
  <si>
    <t>Susquehanna University Press</t>
  </si>
  <si>
    <t>Holmes, Morgan</t>
  </si>
  <si>
    <t>Science: Biology/Natural History; Medicine; Science</t>
  </si>
  <si>
    <t>Intersexuality. ; Intersexuality -- Social aspects. ; Gender identity.</t>
  </si>
  <si>
    <t>https://ebookcentral.proquest.com/lib/viva-active/detail.action?docID=3116177</t>
  </si>
  <si>
    <t>Queer People : Negotiations and Expressions of Homosexuality, 1700-1800</t>
  </si>
  <si>
    <t>Mounsey, Chris;Gonda, Caroline</t>
  </si>
  <si>
    <t>English literature -- 18th century -- History and criticism. ; Homosexuality and literature -- Great Britain -- History -- 18th century. ; Gays in literature. ; Homosexuality -- History -- 18th century. ; Gays -- Social life and customs -- 18th century.</t>
  </si>
  <si>
    <t>https://ebookcentral.proquest.com/lib/viva-active/detail.action?docID=3116283</t>
  </si>
  <si>
    <t>Waiting for the End : Gender and Ending in the Contemporary Novel</t>
  </si>
  <si>
    <t>Ingersoll, Earl G.</t>
  </si>
  <si>
    <t>Closure (Rhetoric) ; English fiction -- 20th century -- History and criticism. ; Feminism and literature -- History -- 20th century. ; Sex role in literature.</t>
  </si>
  <si>
    <t>https://ebookcentral.proquest.com/lib/viva-active/detail.action?docID=3116433</t>
  </si>
  <si>
    <t>Drifting Toward Love : Black, Brown, Gay, and Coming of Age on the Streets of New York</t>
  </si>
  <si>
    <t>Beacon Press</t>
  </si>
  <si>
    <t>Wright, Kai</t>
  </si>
  <si>
    <t>African American gays -- New York (State) -- New York Metropolitan Area -- Social conditions. ; Hispanic American gays -- New York (State) -- New York Metropolitan Area -- Social conditions. ; Gay youth -- New York (State) -- New York Metropolitan Area -- Social conditions. ; New York Metropolitan Area -- Social conditions.</t>
  </si>
  <si>
    <t>https://ebookcentral.proquest.com/lib/viva-active/detail.action?docID=3118006</t>
  </si>
  <si>
    <t>Beyond (Straight and Gay) Marriage : Valuing All Families Under the Law</t>
  </si>
  <si>
    <t>Polikoff, Nancy D.</t>
  </si>
  <si>
    <t>Unmarried couples -- Legal status, laws, etc. -- United States.;Domestic partner benefits -- Law and legislation -- United States.;Same-sex marriage -- Law and legislation -- United States.;Civil unions -- Law and legislation -- United States.;Gay couples -- Legal status, laws, etc. -- United States.;Lesbian couples -- Legal status, laws, etc. -- United States.</t>
  </si>
  <si>
    <t>https://ebookcentral.proquest.com/lib/viva-active/detail.action?docID=3118036</t>
  </si>
  <si>
    <t>Mean Little Deaf Queer : A Memoir</t>
  </si>
  <si>
    <t>Galloway, Terry</t>
  </si>
  <si>
    <t>Galloway, Terry.;Deaf women -- United States -- Biography.;Deaf artists -- United States -- Biography.;Lesbians -- United States -- Biography.</t>
  </si>
  <si>
    <t>https://ebookcentral.proquest.com/lib/viva-active/detail.action?docID=3118055</t>
  </si>
  <si>
    <t>She Looks Just Like You : A Memoir of (Nonbiological Lesbian) Motherhood</t>
  </si>
  <si>
    <t>Miller, Amie Klempnauer</t>
  </si>
  <si>
    <t>Miller, Amie Klempnauer, -- 1965-;Nonbiological mothers -- United States -- Biography.;Lesbian mothers -- United States -- Biography.;Gender identity -- United States.</t>
  </si>
  <si>
    <t>https://ebookcentral.proquest.com/lib/viva-active/detail.action?docID=3118083</t>
  </si>
  <si>
    <t>From the Closet to the Courtroom : Five LGBT Rights Lawsuits That Have Changed Our Nation</t>
  </si>
  <si>
    <t xml:space="preserve">Ball, Carlos A.;Bronski, Michael </t>
  </si>
  <si>
    <t>Gay rights -- United States -- Digests.;Homosexuality -- Law and legislation -- United States -- Digests.;Discrimination -- Law and legislation -- United States -- Digests.;Gay couples -- Legal status, laws, etc. -- United States -- Digests.;Actions and defenses -- United States.</t>
  </si>
  <si>
    <t>https://ebookcentral.proquest.com/lib/viva-active/detail.action?docID=3118087</t>
  </si>
  <si>
    <t>Bible Trouble : Queer Reading at the Boundaries of Biblical Scholarship</t>
  </si>
  <si>
    <t>Society of Biblical Literature</t>
  </si>
  <si>
    <t>Hornsby, Teresa J.;Stone, Ken</t>
  </si>
  <si>
    <t>Bible -- Criticism, interpretation, etc. -- History -- 21st century. ; Bible -- Gay interpretations.</t>
  </si>
  <si>
    <t>https://ebookcentral.proquest.com/lib/viva-active/detail.action?docID=3118219</t>
  </si>
  <si>
    <t>Transnational Discourses on Class, Gender, and Cultural Identity</t>
  </si>
  <si>
    <t>Purdue University Press</t>
  </si>
  <si>
    <t>Comparative Cultural Studies</t>
  </si>
  <si>
    <t>Marques, Irene</t>
  </si>
  <si>
    <t>LITERARY CRITICISM / African</t>
  </si>
  <si>
    <t>https://ebookcentral.proquest.com/lib/viva-active/detail.action?docID=3119190</t>
  </si>
  <si>
    <t>The Bible on the Question of Homosexuality</t>
  </si>
  <si>
    <t>Catholic University of America Press</t>
  </si>
  <si>
    <t>Himbaza, Innocent;Schenker, Adrian;Edart, Jean-Baptiste ;Guevin, Benedict M.</t>
  </si>
  <si>
    <t>Homosexuality - Biblical teaching</t>
  </si>
  <si>
    <t>https://ebookcentral.proquest.com/lib/viva-active/detail.action?docID=3135032</t>
  </si>
  <si>
    <t>Multiple Means of Gender Equality : A Critical Frame Analysis of Gender Policies in Europe</t>
  </si>
  <si>
    <t>Central European University Press</t>
  </si>
  <si>
    <t>Verloo, Mieke</t>
  </si>
  <si>
    <t>Sex discrimination against women -- Europe. ; Sex discrimination against women -- Government policy -- Europe.</t>
  </si>
  <si>
    <t>https://ebookcentral.proquest.com/lib/viva-active/detail.action?docID=3137253</t>
  </si>
  <si>
    <t>Citizen Bachelors : Manhood and the Creation of the United States</t>
  </si>
  <si>
    <t>Cornell University Press</t>
  </si>
  <si>
    <t>McCurdy, John Gilbert</t>
  </si>
  <si>
    <t>Bachelors -- United States -- History -- 17th century. ; Bachelors -- United States -- History -- 18th century. ; United States -- Social life and customs -- To 1775. ; United States -- Social life and customs -- 1775-1783.</t>
  </si>
  <si>
    <t>https://ebookcentral.proquest.com/lib/viva-active/detail.action?docID=3137939</t>
  </si>
  <si>
    <t>My Father and I : The Marais and the Queerness of Community</t>
  </si>
  <si>
    <t>Caron, David;Caron, D.;CARON, D.</t>
  </si>
  <si>
    <t>Gottlieb, Joseph, -- 1919-2004. ; Caron, David -- (David Henri) -- Family. ; Gay community -- France -- Paris -- History. ; Jewish neighborhoods -- France -- Paris -- History. ; Homosexuality -- France -- Paris -- History. ; Jews -- France -- Paris -- History. ; Marais (Paris, France) -- History.</t>
  </si>
  <si>
    <t>https://ebookcentral.proquest.com/lib/viva-active/detail.action?docID=3138030</t>
  </si>
  <si>
    <t>Overkill : Sex and Violence in Contemporary Russian Popular Culture</t>
  </si>
  <si>
    <t>Culture and Society after Socialism</t>
  </si>
  <si>
    <t>Borenstein, Eliot</t>
  </si>
  <si>
    <t>Popular culture -- Russia (Federation) ; Sex in popular culture -- Russia (Federation) ; Violence in popular culture -- Russia (Federation) ; Sex in mass media. ; Violence in mass media. ; Popular literature -- Russia (Federation) -- History and criticism. ; Post-communism -- Social aspects -- Russia (Federation)</t>
  </si>
  <si>
    <t>https://ebookcentral.proquest.com/lib/viva-active/detail.action?docID=3138124</t>
  </si>
  <si>
    <t>The Changing Face of Medicine : Women Doctors and the Evolution of Health Care in America</t>
  </si>
  <si>
    <t>The Culture and Politics of Health Care Work</t>
  </si>
  <si>
    <t>Boulis, Ann K.;Jacobs, Jerry A.</t>
  </si>
  <si>
    <t>Women physicians -- United States. ; Medical care -- United States.</t>
  </si>
  <si>
    <t>https://ebookcentral.proquest.com/lib/viva-active/detail.action?docID=3138125</t>
  </si>
  <si>
    <t>Popular Democracy in Japan : How Gender and Community Are Changing Modern Electoral Politics</t>
  </si>
  <si>
    <t>Martin, Sherry L.</t>
  </si>
  <si>
    <t>Democracy -- Japan. ; Political participation -- Japan. ; Political culture -- Japan. ; Women -- Political activity -- Japan. ; Community power -- Japan. ; Japan -- Politics and government -- 21st century.</t>
  </si>
  <si>
    <t>https://ebookcentral.proquest.com/lib/viva-active/detail.action?docID=3138176</t>
  </si>
  <si>
    <t>Breaking the Ties That Bound : The Politics of Marital Strife in Late Imperial Russia</t>
  </si>
  <si>
    <t>Engel, Barbara Alpern</t>
  </si>
  <si>
    <t>Marriage -- Russia -- History -- 19th century. ; Marriage -- Russia -- History -- 20th century. ; Divorce -- Russia -- History -- 19th century. ; Women -- Family relationships -- Russia -- History -- 19th century. ; Women -- Family relationships -- Russia -- History -- 20th century. ; Family policy -- Russia -- History -- 19th century. ; Family policy -- Russia -- History -- 20th century.</t>
  </si>
  <si>
    <t>https://ebookcentral.proquest.com/lib/viva-active/detail.action?docID=3138203</t>
  </si>
  <si>
    <t>Separated by Their Sex : Women in Public and Private in the Colonial Atlantic World</t>
  </si>
  <si>
    <t>Norton, Mary Beth</t>
  </si>
  <si>
    <t>Women -- United States -- History. ; Women -- Great Britain -- History. ; Women in public life -- United States -- History. ; Women in public life -- Great Britain -- History. ; United States -- History -- Colonial period, ca. 1600-1775.</t>
  </si>
  <si>
    <t>https://ebookcentral.proquest.com/lib/viva-active/detail.action?docID=3138205</t>
  </si>
  <si>
    <t>Sodom on the Thames : Sex, Love, and Scandal in Wilde Times</t>
  </si>
  <si>
    <t>Kaplan, Morris B.</t>
  </si>
  <si>
    <t>Symonds, John Addington, -- 1840-1893 -- Sexual behavior. ; Wilde, Oscar, -- 1854-1900 -- Trials, litigation, etc. ; English literature -- England -- London -- History and criticism. ; Homosexuality and literature -- England -- History -- 19th century. ; Male homosexuality -- England -- London -- History -- 19th century. ; Sex customs -- England -- London -- History -- 19th century. ; English literature -- 19th century -- History and criticism.</t>
  </si>
  <si>
    <t>https://ebookcentral.proquest.com/lib/viva-active/detail.action?docID=3138344</t>
  </si>
  <si>
    <t>Erotic Exchanges : The World of Elite Prostitution in Eighteenth-Century Paris</t>
  </si>
  <si>
    <t>Kushner, Nina</t>
  </si>
  <si>
    <t>Prostitution -- France -- Paris -- History -- 18th century.</t>
  </si>
  <si>
    <t>https://ebookcentral.proquest.com/lib/viva-active/detail.action?docID=3138554</t>
  </si>
  <si>
    <t>Brotherly Love : Freemasonry and Male Friendship in Enlightenment France</t>
  </si>
  <si>
    <t>Loiselle, Kenneth B.</t>
  </si>
  <si>
    <t>Freemasonry -- France -- History -- 18th century. ; Male friendship -- France -- History -- 18th century. ; Enlightenment -- France. ; France -- Social life and customs -- 18th century.</t>
  </si>
  <si>
    <t>https://ebookcentral.proquest.com/lib/viva-active/detail.action?docID=3138615</t>
  </si>
  <si>
    <t>Forgotten Men and Fallen Women : The Cultural Politics of New Deal Narratives</t>
  </si>
  <si>
    <t>Allen, Holly</t>
  </si>
  <si>
    <t>New Deal, 1933-1939 -- Personal narratives. ; Politics and culture -- United States -- History -- 20th century. ; Sex role -- United States -- History -- 20th century. ; United States -- Social conditions -- 1933-1945. ; United States -- Race relations -- History -- 20th century.</t>
  </si>
  <si>
    <t>https://ebookcentral.proquest.com/lib/viva-active/detail.action?docID=3138740</t>
  </si>
  <si>
    <t>Meeting the Other : Living in the Present, Gender and Sustainability in Bhutan</t>
  </si>
  <si>
    <t>Eburon Academic Publishers</t>
  </si>
  <si>
    <t>Crins, Rieki</t>
  </si>
  <si>
    <t>Bhutan -- Social life and customs.</t>
  </si>
  <si>
    <t>https://ebookcentral.proquest.com/lib/viva-active/detail.action?docID=3155045</t>
  </si>
  <si>
    <t>Clint Eastwood and Issues of American Masculinity</t>
  </si>
  <si>
    <t>Fordham University Press</t>
  </si>
  <si>
    <t>Cornell, Drucilla</t>
  </si>
  <si>
    <t>Masculinity in motion pictures</t>
  </si>
  <si>
    <t>https://ebookcentral.proquest.com/lib/viva-active/detail.action?docID=3239489</t>
  </si>
  <si>
    <t>The Pain of Reformation : Spenser, Vulnerability, and the Ethics of Masculinity</t>
  </si>
  <si>
    <t>Campana, Joseph</t>
  </si>
  <si>
    <t>LITERARY CRITICISM / Gay &amp; Lesbian</t>
  </si>
  <si>
    <t>https://ebookcentral.proquest.com/lib/viva-active/detail.action?docID=3239605</t>
  </si>
  <si>
    <t>Hidden : Reflections on Gay Life, AIDS, and Spiritual Desire</t>
  </si>
  <si>
    <t>Giannone, Richard</t>
  </si>
  <si>
    <t>Caring - Religious aspects - Catholic Church</t>
  </si>
  <si>
    <t>https://ebookcentral.proquest.com/lib/viva-active/detail.action?docID=3239634</t>
  </si>
  <si>
    <t>Hollow Men : Writing, Objects, and Public Image in Renaissance Italy</t>
  </si>
  <si>
    <t>University of Virginia Press</t>
  </si>
  <si>
    <t>Gaylard, Susan</t>
  </si>
  <si>
    <t>Art, Renaissance - Italy - History</t>
  </si>
  <si>
    <t>https://ebookcentral.proquest.com/lib/viva-active/detail.action?docID=3239816</t>
  </si>
  <si>
    <t>The Queer Turn in Feminism : Identities, Sexualities, and the Theater of Gender</t>
  </si>
  <si>
    <t>Commonalities Ser.</t>
  </si>
  <si>
    <t>Berger, Anne-Emmanuelle;Porter, Catherine</t>
  </si>
  <si>
    <t>Feminist theory. ; Gender identity. ; Queer theory.</t>
  </si>
  <si>
    <t>https://ebookcentral.proquest.com/lib/viva-active/detail.action?docID=3239860</t>
  </si>
  <si>
    <t>More Than a Monologue: Sexual Diversity and the Catholic Church</t>
  </si>
  <si>
    <t>Catholic Practice in North America Ser.</t>
  </si>
  <si>
    <t>Norko, Michael A.;II, J. Patrick Hornbeck</t>
  </si>
  <si>
    <t>Catholic Church. ; Sex -- Religious aspects -- Catholic Church.</t>
  </si>
  <si>
    <t>https://ebookcentral.proquest.com/lib/viva-active/detail.action?docID=3239864</t>
  </si>
  <si>
    <t>Giving Beyond the Gift : Apophasis and Overcoming Theomania</t>
  </si>
  <si>
    <t>Wolfson, Elliot R.</t>
  </si>
  <si>
    <t>Jewish philosophy - 20th century</t>
  </si>
  <si>
    <t>https://ebookcentral.proquest.com/lib/viva-active/detail.action?docID=3239867</t>
  </si>
  <si>
    <t>Making Italian America : Consumer Culture and the Production of Ethnic Identities</t>
  </si>
  <si>
    <t>Critical Studies in Italian America Ser.</t>
  </si>
  <si>
    <t>Cinotto, Simone;O'Byrne, Anne E.;Anglemire, Carlie</t>
  </si>
  <si>
    <t>History; Business/Management</t>
  </si>
  <si>
    <t>Italian Americans -- Ethnic identity.</t>
  </si>
  <si>
    <t>https://ebookcentral.proquest.com/lib/viva-active/detail.action?docID=3239881</t>
  </si>
  <si>
    <t>What's Queer about Europe? : Productive Encounters and Re-Enchanting Paradigms</t>
  </si>
  <si>
    <t>Rosello, Mireille;Dasgupta, Sudeep</t>
  </si>
  <si>
    <t>Queer theory - Europe</t>
  </si>
  <si>
    <t>https://ebookcentral.proquest.com/lib/viva-active/detail.action?docID=3239907</t>
  </si>
  <si>
    <t>Hysterical Men : The Hidden History of Male Nervous Illness</t>
  </si>
  <si>
    <t>Harvard University Press</t>
  </si>
  <si>
    <t>MICALE, Mark S;MICALE, Mark S</t>
  </si>
  <si>
    <t>Hysteria -- History. ; Men -- Mental health -- History.</t>
  </si>
  <si>
    <t>https://ebookcentral.proquest.com/lib/viva-active/detail.action?docID=3300128</t>
  </si>
  <si>
    <t>A Bull of a Man : Images of Masculinity, Sex, and the Body in Indian Buddhism</t>
  </si>
  <si>
    <t>Powers, John</t>
  </si>
  <si>
    <t>Masculinity -- Religious aspects -- Buddhism. ; Sex role -- Religious aspects -- Buddhism. ; Buddhist literature -- India -- History and criticism. ; Buddhism -- Social aspects -- India -- History.</t>
  </si>
  <si>
    <t>https://ebookcentral.proquest.com/lib/viva-active/detail.action?docID=3300872</t>
  </si>
  <si>
    <t>Reshaping the Work-Family Debate : Why Men and Class Matter</t>
  </si>
  <si>
    <t>The William E. Massey Sr. Lectures in the History of American Civilization; Ser.</t>
  </si>
  <si>
    <t>Williams, Joan C.</t>
  </si>
  <si>
    <t>Work and family -- United States. ; Working mothers -- United States. ; Dual-career families -- United States. ; Sex role -- United States. ; Social classes -- United States.</t>
  </si>
  <si>
    <t>https://ebookcentral.proquest.com/lib/viva-active/detail.action?docID=3300904</t>
  </si>
  <si>
    <t>Deep Secrets : Boys' Friendships and the Crisis of Connection</t>
  </si>
  <si>
    <t>Way, Niobe</t>
  </si>
  <si>
    <t>Male friendship. ; Emotions in adolescence. ; Emotions in children.</t>
  </si>
  <si>
    <t>https://ebookcentral.proquest.com/lib/viva-active/detail.action?docID=3300913</t>
  </si>
  <si>
    <t>How to Be Gay</t>
  </si>
  <si>
    <t>Halperin, David M.</t>
  </si>
  <si>
    <t>Gay men. ; Gays.</t>
  </si>
  <si>
    <t>https://ebookcentral.proquest.com/lib/viva-active/detail.action?docID=3301125</t>
  </si>
  <si>
    <t>From Shame to Sin : The Christian Transformation of Sexual Morality in Late Antiquity</t>
  </si>
  <si>
    <t>Revealing Antiquity</t>
  </si>
  <si>
    <t>Harper, Kyle</t>
  </si>
  <si>
    <t>Sex -- History -- To 1500. ; Sexual ethics -- History -- To 1500. ; Sex -- Religious aspects -- Christianity.</t>
  </si>
  <si>
    <t>https://ebookcentral.proquest.com/lib/viva-active/detail.action?docID=3301301</t>
  </si>
  <si>
    <t>Covenant and Calling : Towards a Theology of Same-Sex Relationships</t>
  </si>
  <si>
    <t>Hymns Ancient &amp; Modern Ltd</t>
  </si>
  <si>
    <t>Song, Robert</t>
  </si>
  <si>
    <t>Homosexuality -- Religious aspects -- Christianity. ; Same-sex marriage -- Religious aspects -- Christianity.</t>
  </si>
  <si>
    <t>https://ebookcentral.proquest.com/lib/viva-active/detail.action?docID=3306246</t>
  </si>
  <si>
    <t>Gender and Early Learning Environments</t>
  </si>
  <si>
    <t>Information Age Publishing, Incorporated</t>
  </si>
  <si>
    <t>Research on Women and Education</t>
  </si>
  <si>
    <t>Irby, Beverly;Brown, Genevieve H.</t>
  </si>
  <si>
    <t>Girls - Education (Early childhood)</t>
  </si>
  <si>
    <t>https://ebookcentral.proquest.com/lib/viva-active/detail.action?docID=3315659</t>
  </si>
  <si>
    <t>Learning from the Boys : Looking Inside the Reading Lives of Three Adolescent Boys</t>
  </si>
  <si>
    <t>Literacy, Language and Learning</t>
  </si>
  <si>
    <t>Lee, Valarie G.;Lee, Valerie G</t>
  </si>
  <si>
    <t>Education; Language/Linguistics</t>
  </si>
  <si>
    <t>Reading (Secondary) - United States</t>
  </si>
  <si>
    <t>https://ebookcentral.proquest.com/lib/viva-active/detail.action?docID=3315810</t>
  </si>
  <si>
    <t>Crises Of Identifying : Negotiating And Mediating Race, Gender, And Disability Within Family And Schools</t>
  </si>
  <si>
    <t>Educational Leadership for Social Justice</t>
  </si>
  <si>
    <t>Mitchell, Dymaneke D.</t>
  </si>
  <si>
    <t>African Americans with disabilities -- Education -- Case studies. ; African Americans with disabilities -- Case studies. ; African American children -- Education -- Case studies. ; African American children -- Case studies. ; Women with disabilities -- Education -- United States -- Case studies. ; Women with disabilities -- United States -- Case studies. ; African American women -- Education -- Case studies.</t>
  </si>
  <si>
    <t>https://ebookcentral.proquest.com/lib/viva-active/detail.action?docID=3315869</t>
  </si>
  <si>
    <t>Authentic Leadership : An Engaged Discussion of LGBTQ Work as Culturally Relevant</t>
  </si>
  <si>
    <t>Watson, Lemuel W.;Johnson, Joshua Moon</t>
  </si>
  <si>
    <t>Homosexuality. ; Leadership. ; Homosexuality in the workplace.</t>
  </si>
  <si>
    <t>https://ebookcentral.proquest.com/lib/viva-active/detail.action?docID=3315881</t>
  </si>
  <si>
    <t>Unnormalizing Education : Addressing Homophobia in Higher Education and K12 Schools</t>
  </si>
  <si>
    <t>Jones, Joseph R.</t>
  </si>
  <si>
    <t>Homophobia in higher education - Prevention</t>
  </si>
  <si>
    <t>https://ebookcentral.proquest.com/lib/viva-active/detail.action?docID=3316022</t>
  </si>
  <si>
    <t>Brutes in Suits : Male Sensibility in America, 1890-1920</t>
  </si>
  <si>
    <t>Johns Hopkins University Press</t>
  </si>
  <si>
    <t>Gender Relations in the American Experience Ser.</t>
  </si>
  <si>
    <t>Pettegrew, John</t>
  </si>
  <si>
    <t>Masculinity - United States - History</t>
  </si>
  <si>
    <t>https://ebookcentral.proquest.com/lib/viva-active/detail.action?docID=3318356</t>
  </si>
  <si>
    <t>Machiavelli in Love : Sex, Self, and Society in the Italian Renaissance</t>
  </si>
  <si>
    <t>Ruggiero, Guido</t>
  </si>
  <si>
    <t>Sex - Social aspects - Italy - History</t>
  </si>
  <si>
    <t>https://ebookcentral.proquest.com/lib/viva-active/detail.action?docID=3318370</t>
  </si>
  <si>
    <t>Southern Sons : Becoming Men in the New Nation</t>
  </si>
  <si>
    <t>Glover, Lorri</t>
  </si>
  <si>
    <t>Southern States - Social conditions - 18th century</t>
  </si>
  <si>
    <t>https://ebookcentral.proquest.com/lib/viva-active/detail.action?docID=3318382</t>
  </si>
  <si>
    <t>The Overflowing of Friendship : Love between Men and the Creation of the American Republic</t>
  </si>
  <si>
    <t>Godbeer, Richard</t>
  </si>
  <si>
    <t>Male friendship - United States - History - 18th century</t>
  </si>
  <si>
    <t>https://ebookcentral.proquest.com/lib/viva-active/detail.action?docID=3318466</t>
  </si>
  <si>
    <t>The Mind of the Mathematician</t>
  </si>
  <si>
    <t>Fitzgerald, Michael;James, Ioan</t>
  </si>
  <si>
    <t>Literature; Mathematics</t>
  </si>
  <si>
    <t>Mathematical ability - Sex differences</t>
  </si>
  <si>
    <t>https://ebookcentral.proquest.com/lib/viva-active/detail.action?docID=3318485</t>
  </si>
  <si>
    <t>Domestic Affairs : Intimacy, Eroticism, and Violence between Servants and Masters in Eighteenth-century Britain</t>
  </si>
  <si>
    <t>Straub, Kristina</t>
  </si>
  <si>
    <t>Household employees in literature</t>
  </si>
  <si>
    <t>https://ebookcentral.proquest.com/lib/viva-active/detail.action?docID=3318488</t>
  </si>
  <si>
    <t>Rakes, Highwaymen, and Pirates : The Making of the Modern Gentleman in the Eighteenth Century</t>
  </si>
  <si>
    <t>Mackie, Erin</t>
  </si>
  <si>
    <t>Godwin, William</t>
  </si>
  <si>
    <t>https://ebookcentral.proquest.com/lib/viva-active/detail.action?docID=3318510</t>
  </si>
  <si>
    <t>Jolly Fellows : Male Milieus in Nineteenth-century America</t>
  </si>
  <si>
    <t>Stott, Richard B.</t>
  </si>
  <si>
    <t>Violence in men - United States</t>
  </si>
  <si>
    <t>https://ebookcentral.proquest.com/lib/viva-active/detail.action?docID=3318517</t>
  </si>
  <si>
    <t>Gender and Justice : Violence, Intimacy and Community in Fin-de Sie`cle Paris</t>
  </si>
  <si>
    <t>The Johns Hopkins University Studies in Historical and Political Science Ser.</t>
  </si>
  <si>
    <t>Ferguson, Eliza Earle</t>
  </si>
  <si>
    <t>Crimes of passion -- France -- Paris -- History -- 19th century. ; Marital violence -- France -- Paris -- History -- 19th century. ; Women -- Crimes against -- France -- Paris -- History -- 19th century. ; Working class -- France -- Paris -- Social conditions -- 19th century. ; Murder -- France -- Paris -- History -- 19th century.</t>
  </si>
  <si>
    <t>https://ebookcentral.proquest.com/lib/viva-active/detail.action?docID=3318544</t>
  </si>
  <si>
    <t>Race, Sex, and Social Order in Early New Orleans</t>
  </si>
  <si>
    <t>Early America: History, Context, Culture Ser.</t>
  </si>
  <si>
    <t>Spear, Jennifer M.</t>
  </si>
  <si>
    <t>Racially mixed people - Louisiana - New Orleans - History</t>
  </si>
  <si>
    <t>https://ebookcentral.proquest.com/lib/viva-active/detail.action?docID=3318576</t>
  </si>
  <si>
    <t>The Boy Problem : Educating Boys in Urban America, 1870-1970</t>
  </si>
  <si>
    <t>Grant, Julia</t>
  </si>
  <si>
    <t>City children - Education - United States</t>
  </si>
  <si>
    <t>https://ebookcentral.proquest.com/lib/viva-active/detail.action?docID=3318786</t>
  </si>
  <si>
    <t>The Calendar of Loss : Race, Sexuality, and Mourning in the Early Era of AIDS</t>
  </si>
  <si>
    <t>The Callaloo African Diaspora Ser.</t>
  </si>
  <si>
    <t>Woubshet, Dagmawi</t>
  </si>
  <si>
    <t>AIDS (Disease) in mass media. ; AIDS (Disease) in literature. ; Loss (Psychology) ; Elegiac poetry -- History and criticism. ; Bereavement -- Psychological aspects -- Cross-cultural studies.</t>
  </si>
  <si>
    <t>https://ebookcentral.proquest.com/lib/viva-active/detail.action?docID=3318887</t>
  </si>
  <si>
    <t>Make Your Own History : Documenting Feminist and Queer Activism in the 21st Century</t>
  </si>
  <si>
    <t>Litwin Books</t>
  </si>
  <si>
    <t>Bly, Lyz;Wooten, Kelly</t>
  </si>
  <si>
    <t>Feminism -- History -- Sources. ; Feminism -- Archival resources. ; Feminism -- Computer network resources. ; Gay rights -- History -- Sources. ; Gay rights -- Archival resources. ; Gay rights -- Computer network resources.</t>
  </si>
  <si>
    <t>https://ebookcentral.proquest.com/lib/viva-active/detail.action?docID=3328236</t>
  </si>
  <si>
    <t>Out Behind the Desk : Workplace Issues for LGBTQ Librarians</t>
  </si>
  <si>
    <t>Library Juice Press</t>
  </si>
  <si>
    <t>Nectoux, Tracy</t>
  </si>
  <si>
    <t>Library Science</t>
  </si>
  <si>
    <t>Gay librarians -- Employment -- United States. ; Bisexual librarians -- Employment -- United States. ; Transgender librarians -- Employment -- United States.</t>
  </si>
  <si>
    <t>https://ebookcentral.proquest.com/lib/viva-active/detail.action?docID=3328240</t>
  </si>
  <si>
    <t>Gay and Lesbian Cops : Diversity and Effective Policing</t>
  </si>
  <si>
    <t>Lynne Rienner Publishers</t>
  </si>
  <si>
    <t>Colvin, Roddrick A.</t>
  </si>
  <si>
    <t>Gay police officers -- United States. ; Gay police officers -- Great Britain. ; Lesbian police officers -- United States. ; Lesbian police officers -- Great Britain. ; Discrimination in law enforcement -- United States. ; Discrimination in law enforcement -- Great Britain.</t>
  </si>
  <si>
    <t>https://ebookcentral.proquest.com/lib/viva-active/detail.action?docID=3329003</t>
  </si>
  <si>
    <t>Sexual Minorities in Sports : Prejudice at Play</t>
  </si>
  <si>
    <t>Sartore-Baldwin, Melanie L.</t>
  </si>
  <si>
    <t>Sports -- Sociological aspects. ; Minorities in sports. ; Sexual minorities. ; Gays and sports. ; Masculinity in sports. ; Feminism and sports.</t>
  </si>
  <si>
    <t>https://ebookcentral.proquest.com/lib/viva-active/detail.action?docID=3329090</t>
  </si>
  <si>
    <t>Dead Boys Can't Dance : Sexual Orientation, Masculinity, and Suicide</t>
  </si>
  <si>
    <t>MQUP</t>
  </si>
  <si>
    <t>Dorais, Michel;Lajeunesse, Simon Louis;Tremblay, Pierre</t>
  </si>
  <si>
    <t>Gay youth -- Suicidal behavior -- Québec (Province) ; Boys -- Suicidal behavior -- Québec (Province) ; Suicide -- Prevention. ; Homosexuality -- Psychological aspects. ; Jeunes homosexuels -- Comportement suicidaire -- Québec (Province) ; Garçons -- Comportement suicidaire -- Québec (Province) ; Suicide -- Prévention.</t>
  </si>
  <si>
    <t>https://ebookcentral.proquest.com/lib/viva-active/detail.action?docID=3330520</t>
  </si>
  <si>
    <t>Hungochani : The History of a Dissident Sexuality in Southern Africa</t>
  </si>
  <si>
    <t>Homosexuality -- Africa, Southern. ; Male homosexuality -- Africa, Southern -- History. ; Homosexualité -- Afrique australe. ; Homosexualité masculine -- Afrique australe -- Histoire.</t>
  </si>
  <si>
    <t>https://ebookcentral.proquest.com/lib/viva-active/detail.action?docID=3330550</t>
  </si>
  <si>
    <t>One of the Boys : Homosexuals in the Military in World War II</t>
  </si>
  <si>
    <t>McGill-Queen's University Press</t>
  </si>
  <si>
    <t>Jackson, Paul</t>
  </si>
  <si>
    <t>Canada. -- Canadian Armed Forces -- History -- World War, 1939-1945. ; World War, 1939-1945 -- Participation, Gays. ; Homophobia -- Government policy -- Canada. ; Canada -- Armed Forces -- Gays -- History -- 20th century. ; Canada -- Armed Forces -- Gays -- Government policy -- History -- 20th century.</t>
  </si>
  <si>
    <t>https://ebookcentral.proquest.com/lib/viva-active/detail.action?docID=3330594</t>
  </si>
  <si>
    <t>Rent Boys : The World of Male Sex Workers</t>
  </si>
  <si>
    <t>Dorais, Michel</t>
  </si>
  <si>
    <t>Male prostitution. ; Male prostitutes. ; Male prostitution -- Québec (Province) ; Male prostitutes -- Québec (Province)</t>
  </si>
  <si>
    <t>https://ebookcentral.proquest.com/lib/viva-active/detail.action?docID=3331678</t>
  </si>
  <si>
    <t>Romance of Transgression in Canada : Queering Sexualities, Nations, Cinemas</t>
  </si>
  <si>
    <t>Homosexuality in motion pictures. ; Gays in motion pictures. ; Lesbians in motion pictures. ; Motion pictures -- Canada -- History and criticism.</t>
  </si>
  <si>
    <t>https://ebookcentral.proquest.com/lib/viva-active/detail.action?docID=3331999</t>
  </si>
  <si>
    <t>Homosexuality -- Africa, Southern. ; Male homosexuality -- Africa, Southern -- History.</t>
  </si>
  <si>
    <t>https://ebookcentral.proquest.com/lib/viva-active/detail.action?docID=3332600</t>
  </si>
  <si>
    <t>Sexual Diversity in Africa : Politics, Theory, and Citizenship</t>
  </si>
  <si>
    <t>Nyeck, S. N.;Epprecht, Marc</t>
  </si>
  <si>
    <t>Sexual minorities -- Africa. ; Sex -- Africa. ; Gender identity -- Africa. ; Queer theory -- Africa.</t>
  </si>
  <si>
    <t>https://ebookcentral.proquest.com/lib/viva-active/detail.action?docID=3332635</t>
  </si>
  <si>
    <t>Bodily Subjects : Essays on Gender and Health, 1800-2000</t>
  </si>
  <si>
    <t>McGill-Queen's/Associated Medical Services Studies in the History of Medicine, H</t>
  </si>
  <si>
    <t>Light, Tracy Penny;Brookes, Barbara;Mitchinson, Wendy</t>
  </si>
  <si>
    <t>Women -- Health and hygiene -- History. ; Men -- Health and hygiene -- History. ; Femininity -- Health aspects -- History. ; Masculinity -- Health aspects -- History. ; Health -- Sex differences -- History.</t>
  </si>
  <si>
    <t>https://ebookcentral.proquest.com/lib/viva-active/detail.action?docID=3332847</t>
  </si>
  <si>
    <t>Confessions of a Presidential Speechwriter</t>
  </si>
  <si>
    <t>Michigan State University Press</t>
  </si>
  <si>
    <t>Smith, Craig R.</t>
  </si>
  <si>
    <t>Smith, Craig R. ; Communication in politics -- United States. ; Speechwriting -- United States. ; Rhetoric -- Political aspects -- United States. ; Political oratory -- United States. ; Freedom of speech -- United States. ; Freedom of the press -- United States.</t>
  </si>
  <si>
    <t>https://ebookcentral.proquest.com/lib/viva-active/detail.action?docID=3338339</t>
  </si>
  <si>
    <t>Effective Philanthropy : Organizational Success Through Deep Diversity and Gender Equality</t>
  </si>
  <si>
    <t>MIT Press</t>
  </si>
  <si>
    <t>The MIT Press Ser.</t>
  </si>
  <si>
    <t>Capek, Mary Ellen S.;Mead, Molly</t>
  </si>
  <si>
    <t>Charities -- Case studies. ; Charities. ; Endowments -- Case studies. ; Endowments. ; Minorities -- Services for -- Finance. ; Organizational effectiveness. ; Sex discrimination against women.</t>
  </si>
  <si>
    <t>https://ebookcentral.proquest.com/lib/viva-active/detail.action?docID=3338590</t>
  </si>
  <si>
    <t>Sex and the Brain : A Reader</t>
  </si>
  <si>
    <t>Einstein, Gillian</t>
  </si>
  <si>
    <t>Science: Biology/Natural History; Science: Anatomy/Physiology; Science</t>
  </si>
  <si>
    <t>Sex differences. ; Sex (Biology) ; Sexual dimorphism (Animals)</t>
  </si>
  <si>
    <t>https://ebookcentral.proquest.com/lib/viva-active/detail.action?docID=3338744</t>
  </si>
  <si>
    <t>Sexualized Brains : Scientific Modeling of Emotional Intelligence from a Cultural Perspective</t>
  </si>
  <si>
    <t>A Bradford Book Ser.</t>
  </si>
  <si>
    <t>Karafyllis, Nicole C.;Ulshöfer, Gotlind;MacCann, Carolyn;Nye, Robert;Reddy, William;Roberts, Richard D.;Hagner, Michael;Husing, Barbel;Bechtoldt, Myriam;Schulze, Ralf</t>
  </si>
  <si>
    <t>Sex differences (Psychology) ; Sex role -- Psychological aspects. ; Emotional intelligence.</t>
  </si>
  <si>
    <t>https://ebookcentral.proquest.com/lib/viva-active/detail.action?docID=3338935</t>
  </si>
  <si>
    <t>Carnal Resonance : Affect and Online Pornography</t>
  </si>
  <si>
    <t>Paasonen, Susanna</t>
  </si>
  <si>
    <t>Internet pornography -- Research. ; Internet research.</t>
  </si>
  <si>
    <t>https://ebookcentral.proquest.com/lib/viva-active/detail.action?docID=3339319</t>
  </si>
  <si>
    <t>The Invention of Heterosexual Culture</t>
  </si>
  <si>
    <t>Tin, Louis-Georges</t>
  </si>
  <si>
    <t>Heterosexuality -- History. ; Sexual orientation.</t>
  </si>
  <si>
    <t>https://ebookcentral.proquest.com/lib/viva-active/detail.action?docID=3339483</t>
  </si>
  <si>
    <t>Ethics, Sexual Orientation, and Choices about Children</t>
  </si>
  <si>
    <t>Basic Bioethics Ser.</t>
  </si>
  <si>
    <t>Murphy, Timothy F.;Caplan, Arthur L.</t>
  </si>
  <si>
    <t>Homosexuality - Genetic aspects</t>
  </si>
  <si>
    <t>https://ebookcentral.proquest.com/lib/viva-active/detail.action?docID=3339516</t>
  </si>
  <si>
    <t>Sex-Specific Reporting of Scientific Research : A Workshop Summary</t>
  </si>
  <si>
    <t>National Academies Press</t>
  </si>
  <si>
    <t>Institute of Medicine;Board on Population Health and Public Health Practice;Wizemann, Theresa M.</t>
  </si>
  <si>
    <t>Scientific surveys.</t>
  </si>
  <si>
    <t>https://ebookcentral.proquest.com/lib/viva-active/detail.action?docID=3378928</t>
  </si>
  <si>
    <t>Collecting Sexual Orientation and Gender Identity Data in Electronic Health Records : Workshop Summary</t>
  </si>
  <si>
    <t>Institute of Medicine;Alper, Joe;Feit, Monica N.;Sanders, Jon Q.;Board on the Health of Select Populations</t>
  </si>
  <si>
    <t>Medical records -- United States -- Data processing -- Congresses. ; Medical records -- Government policy -- United States -- Congresses. ; Medical records -- Standards -- United States -- Congresses. ; Gender identity -- United States -- Congresses. ; Sexual orientation -- United States -- Congresses.</t>
  </si>
  <si>
    <t>https://ebookcentral.proquest.com/lib/viva-active/detail.action?docID=3379122</t>
  </si>
  <si>
    <t>Colloquy on Minority Males in Science, Technology, Engineering, and Mathematics</t>
  </si>
  <si>
    <t>National Academy of Engineering;Cady, Elizabeth;Fortenberry, Norman L.;Didion, Catherine</t>
  </si>
  <si>
    <t>Science; Science: General</t>
  </si>
  <si>
    <t>Science -- Study and teaching -- Minorities -- Education -- United States -- Congresses. ; Science -- Study and teaching -- Minorities -- Research -- United States -- Congresses. ; Technology -- Study and teaching -- Minorities -- Education -- United States -- Congresses. ; Technology -- Study and teaching -- Minorities -- Research -- United States -- Congresses. ; Engineering -- Study and teaching -- Minorities -- Education -- United States -- Congresses. ; Engineering -- Study and teaching -- Minorities -- Research -- United States -- Congresses. ; Mathematics -- Study and teaching -- Minorities -- Education -- United States -- Congresses.</t>
  </si>
  <si>
    <t>https://ebookcentral.proquest.com/lib/viva-active/detail.action?docID=3379274</t>
  </si>
  <si>
    <t>Vernon Lee</t>
  </si>
  <si>
    <t>Northcote House Publishers</t>
  </si>
  <si>
    <t>Kandol, Sondeep</t>
  </si>
  <si>
    <t>Lee, Vernon, -- 1856-1935 -- Criticism and interpretation.;English fiction -- Women authors -- History and criticism.</t>
  </si>
  <si>
    <t>https://ebookcentral.proquest.com/lib/viva-active/detail.action?docID=3383423</t>
  </si>
  <si>
    <t>After Queer Theory : The Limits of Sexual Politics</t>
  </si>
  <si>
    <t>Pluto Press</t>
  </si>
  <si>
    <t>Penney, James</t>
  </si>
  <si>
    <t>Queer theory. ; Gender identity.</t>
  </si>
  <si>
    <t>https://ebookcentral.proquest.com/lib/viva-active/detail.action?docID=3386743</t>
  </si>
  <si>
    <t>Masked Voices : Gay Men and Lesbians in Cold War America</t>
  </si>
  <si>
    <t>State University of New York Press</t>
  </si>
  <si>
    <t>SUNY Series in Queer Politics and Cultures Ser.</t>
  </si>
  <si>
    <t>Loftin, Craig M.</t>
  </si>
  <si>
    <t>One (Los Angeles, Calif.) ; Homosexuality -- United States -- History -- 20th century. ; Gays -- United States -- History -- 20th century.</t>
  </si>
  <si>
    <t>https://ebookcentral.proquest.com/lib/viva-active/detail.action?docID=3407027</t>
  </si>
  <si>
    <t>Violence and the Philosophical Imaginary</t>
  </si>
  <si>
    <t>SUNY Series in Gender Theory Ser.</t>
  </si>
  <si>
    <t>Murphy, Ann V.</t>
  </si>
  <si>
    <t>Violence -- Philosophy. ; Imagination (Philosophy)</t>
  </si>
  <si>
    <t>https://ebookcentral.proquest.com/lib/viva-active/detail.action?docID=3407035</t>
  </si>
  <si>
    <t>Friendship As a Way of Life : Foucault, AIDS, and the Politics of Shared Estrangement</t>
  </si>
  <si>
    <t>Roach, Tom</t>
  </si>
  <si>
    <t>Psychology; Philosophy</t>
  </si>
  <si>
    <t>Foucault, Michel, -- 1926-1984. ; Friendship. ; Friendship -- Philosophy. ; Gay and lesbian studies.</t>
  </si>
  <si>
    <t>https://ebookcentral.proquest.com/lib/viva-active/detail.action?docID=3407037</t>
  </si>
  <si>
    <t>Sleights of Reason : Norm, Bisexuality, Development</t>
  </si>
  <si>
    <t>Mader, Mary Beth</t>
  </si>
  <si>
    <t>Feminism. ; Sex. ; Women -- Sexual behavior.</t>
  </si>
  <si>
    <t>https://ebookcentral.proquest.com/lib/viva-active/detail.action?docID=3407085</t>
  </si>
  <si>
    <t>Rewriting Difference : Luce Irigaray and 'the Greeks'</t>
  </si>
  <si>
    <t>Tzelepis, Elena;Athanasiou, Athena;Spivak, Gayatri Chakravorty</t>
  </si>
  <si>
    <t>Irigaray, Luce -- Criticism and interpretation. ; Feminist theory. ; Philosophy, Ancient.</t>
  </si>
  <si>
    <t>https://ebookcentral.proquest.com/lib/viva-active/detail.action?docID=3407148</t>
  </si>
  <si>
    <t>Convergences : Black Feminism and Continental Philosophy</t>
  </si>
  <si>
    <t xml:space="preserve">Davidson, Maria del Guadalupe;Gines, Kathryn T.;Marcano, Donna-Dale L.;Guy-Sheftall, Beverly ;Yancy, George </t>
  </si>
  <si>
    <t>Continental philosophy. ; Feminism. ; Womanism. ; Women, Black.</t>
  </si>
  <si>
    <t>https://ebookcentral.proquest.com/lib/viva-active/detail.action?docID=3407149</t>
  </si>
  <si>
    <t>Objectivity : The Hermeneutical and Philosophy</t>
  </si>
  <si>
    <t>SUNY Series in Contemporary Continental Philosophy Ser.</t>
  </si>
  <si>
    <t>Figal, Günter;George, Theodore</t>
  </si>
  <si>
    <t>Hermeneutics. ; Objectivity.</t>
  </si>
  <si>
    <t>https://ebookcentral.proquest.com/lib/viva-active/detail.action?docID=3407183</t>
  </si>
  <si>
    <t>Walt Whitman's Mystical Ethics of Comradeship : Homosexuality and the Marginality of Friendship at the Crossroads of Modernity</t>
  </si>
  <si>
    <t>Hererro Brasas, Juan A.</t>
  </si>
  <si>
    <t>Whitman, Walt, -- 1819-1892 -- Relations with men. ; Whitman, Walt, -- 1819-1892 -- Friends and associates. ; Whitman, Walt, -- 1819-1892 -- Ethics. ; Poets, American -- 19th century -- Biography. ; Gay men -- United States -- Biography.</t>
  </si>
  <si>
    <t>https://ebookcentral.proquest.com/lib/viva-active/detail.action?docID=3407200</t>
  </si>
  <si>
    <t>Unequal Desires : Race and Erotic Capital in the Stripping Industry</t>
  </si>
  <si>
    <t>Brooks, Siobhan</t>
  </si>
  <si>
    <t>Race discrimination. ; Sex-oriented businesses -- History.</t>
  </si>
  <si>
    <t>https://ebookcentral.proquest.com/lib/viva-active/detail.action?docID=3407237</t>
  </si>
  <si>
    <t>Excess and Masculinity in Asian Cultural Productions</t>
  </si>
  <si>
    <t>SUNY Series in Global Modernity Ser.</t>
  </si>
  <si>
    <t>Lo, Kwai-Cheung</t>
  </si>
  <si>
    <t>Civilization, Modern -- Asia -- 21st century. ; Civilization, Modern -- China -- 21st century. ; Masculinity in popular culture -- China. ; Popular culture -- China.</t>
  </si>
  <si>
    <t>https://ebookcentral.proquest.com/lib/viva-active/detail.action?docID=3407241</t>
  </si>
  <si>
    <t>Queer Times, Queer Becomings</t>
  </si>
  <si>
    <t>McCallum, E. L.;Tuhkanen, Mikko</t>
  </si>
  <si>
    <t>Homosexuality in literature. ; Homosexuality in motion pictures. ; Time in literature. ; Time in motion pictures. ; Homosexuality and literature. ; Homosexuality and motion pictures. ; Queer theory.</t>
  </si>
  <si>
    <t>https://ebookcentral.proquest.com/lib/viva-active/detail.action?docID=3407290</t>
  </si>
  <si>
    <t>Transgender Employment Experiences : Gendered Perceptions and the Law</t>
  </si>
  <si>
    <t>Bender-Baird, Kyla</t>
  </si>
  <si>
    <t>Discrimination in employment -- United States. ; Sex discrimination in employment -- Law and legislation -- United States. ; Transgender people -- Employment -- Law and legislation -- United States. ; Transgender people -- Employment -- United States.</t>
  </si>
  <si>
    <t>https://ebookcentral.proquest.com/lib/viva-active/detail.action?docID=3407310</t>
  </si>
  <si>
    <t>Mencius and Masculinities : Dynamics of Power, Morality, and Maternal Thinking</t>
  </si>
  <si>
    <t>SUNY Series in Chinese Philosophy and Culture Ser.</t>
  </si>
  <si>
    <t>Birdwhistell, Joanne D.</t>
  </si>
  <si>
    <t>Mencius. ; Philosophy, Chinese -- To 221 B.C. ; Gender identity in literature.</t>
  </si>
  <si>
    <t>https://ebookcentral.proquest.com/lib/viva-active/detail.action?docID=3407353</t>
  </si>
  <si>
    <t>Same-Sex Partners : The Social Demography of Sexual Orientation</t>
  </si>
  <si>
    <t>Baumle, Amanda K.;Compton, D'Lane;Poston Jr., Dudley L.</t>
  </si>
  <si>
    <t>Gay men -- United States -- Statistics. ; Gay couples -- United States -- Statistics. ; Lesbians -- United States -- Statistics. ; Lesbian couples -- United States -- Statistics.</t>
  </si>
  <si>
    <t>https://ebookcentral.proquest.com/lib/viva-active/detail.action?docID=3407413</t>
  </si>
  <si>
    <t>Out of Play : Critical Essays on Gender and Sport</t>
  </si>
  <si>
    <t>SUNY Series on Sport, Culture, and Social Relations Ser.</t>
  </si>
  <si>
    <t>Messner, Michael A.;Connell, Raewyn</t>
  </si>
  <si>
    <t>Athletes in mass media. ; Masculinity in sports. ; Sex discrimination in sports. ; Sex role. ; Sports -- Social aspects. ; Television and sports.</t>
  </si>
  <si>
    <t>https://ebookcentral.proquest.com/lib/viva-active/detail.action?docID=3407428</t>
  </si>
  <si>
    <t>Family Matters : Feminist Concepts in African Philosophy of Culture</t>
  </si>
  <si>
    <t>SUNY Series, Feminist Philosophy Ser.</t>
  </si>
  <si>
    <t>Nzegwu, Nkiru Uwechia</t>
  </si>
  <si>
    <t>Igbo (African people) -- Kinship. ; Women, Igbo -- Social conditions. ; Philosophy, Igbo. ; Sex role -- Nigeria. ; Families -- Nigeria. ; Patrilineal kinship -- Nigeria. ; Feminist theory -- Nigeria.</t>
  </si>
  <si>
    <t>https://ebookcentral.proquest.com/lib/viva-active/detail.action?docID=3407642</t>
  </si>
  <si>
    <t>The Gender of Desire : Essays on Male Sexuality</t>
  </si>
  <si>
    <t>Kimmel, Michael S.</t>
  </si>
  <si>
    <t>Men -- Sexual behavior. ; Masculinity. ; Sex role. ; Men''s studies. ; Pornography -- Social aspects. ; Sex crimes.</t>
  </si>
  <si>
    <t>https://ebookcentral.proquest.com/lib/viva-active/detail.action?docID=3407756</t>
  </si>
  <si>
    <t>Copula : Sexual Technologies, Reproductive Powers</t>
  </si>
  <si>
    <t>Ferrell, Robyn</t>
  </si>
  <si>
    <t>Sex role -- Philosophy. ; Feminist theory. ; Motherhood -- Philosophy.</t>
  </si>
  <si>
    <t>https://ebookcentral.proquest.com/lib/viva-active/detail.action?docID=3407804</t>
  </si>
  <si>
    <t>Buddhist Women and Social Justice : Ideals, Challenges, and Achievements</t>
  </si>
  <si>
    <t>Tsomo, Karma Lekshe</t>
  </si>
  <si>
    <t>Buddhist women -- Social conditions. ; Buddhist monasticism and religious orders for women. ; Feminism -- Religious aspects -- Buddhism. ; Social justice.</t>
  </si>
  <si>
    <t>https://ebookcentral.proquest.com/lib/viva-active/detail.action?docID=3407853</t>
  </si>
  <si>
    <t>Africa Writes Back to Self : Metafiction, Gender, Sexuality</t>
  </si>
  <si>
    <t>Mwangi, Evan M.</t>
  </si>
  <si>
    <t>African fiction (English) -- History and criticism. ; Self in literature. ; Self-perception in literature. ; Sex role in literature. ; Sex in literature.</t>
  </si>
  <si>
    <t>https://ebookcentral.proquest.com/lib/viva-active/detail.action?docID=3408136</t>
  </si>
  <si>
    <t>Materializing Queer Desire : Oscar Wilde to Andy Warhol</t>
  </si>
  <si>
    <t>Glick, Elisa</t>
  </si>
  <si>
    <t>Homosexuality and literature. ; Dandyism in literature. ; Queer theory.</t>
  </si>
  <si>
    <t>https://ebookcentral.proquest.com/lib/viva-active/detail.action?docID=3408273</t>
  </si>
  <si>
    <t>Letters to ONE : Gay and Lesbian Voices from the 1950s And 1960s</t>
  </si>
  <si>
    <t xml:space="preserve">Loftin, Craig M.;Loftin, Craig M. </t>
  </si>
  <si>
    <t>One (Los Angeles, Calif.) ; Homosexuality -- United States. ; Gays -- United States. ; Lesbians -- United States. ; Gay liberation movement -- United States.</t>
  </si>
  <si>
    <t>https://ebookcentral.proquest.com/lib/viva-active/detail.action?docID=3408666</t>
  </si>
  <si>
    <t>Sex in Transition : Remaking Gender and Race in South Africa</t>
  </si>
  <si>
    <t>Swarr, Amanda Lock</t>
  </si>
  <si>
    <t>Transsexualism -- South Africa -- History. ; Transsexuals -- Legal status, laws, etc. -- South Africa. ; Intersexuality -- South Africa. ; Gender identity -- South Africa.</t>
  </si>
  <si>
    <t>https://ebookcentral.proquest.com/lib/viva-active/detail.action?docID=3408682</t>
  </si>
  <si>
    <t>L Is for Lion : An Italian Bronx Butch Freedom Memoir</t>
  </si>
  <si>
    <t>SUNY Series in Italian/American Culture Ser.</t>
  </si>
  <si>
    <t>Lanzillotto, Annie Rachele</t>
  </si>
  <si>
    <t>Lanzillotto, Annie Rachele. ; Italian American lesbians -- New York (State) -- New York -- Biography. ; Italian Americans -- New York (State) -- New York -- Biography. ; Bronx (New York, N.Y.) -- Biography.</t>
  </si>
  <si>
    <t>https://ebookcentral.proquest.com/lib/viva-active/detail.action?docID=3408698</t>
  </si>
  <si>
    <t>The Better Story : Queer Affects from the Middle East</t>
  </si>
  <si>
    <t>Georgis, Dina</t>
  </si>
  <si>
    <t>Gays -- Middle East. ; Homophobia -- Middle East. ; Minorities -- Middle East. ; Discrimination -- Middle East.</t>
  </si>
  <si>
    <t>https://ebookcentral.proquest.com/lib/viva-active/detail.action?docID=3408706</t>
  </si>
  <si>
    <t>Mothering Queerly, Queering Motherhood : Resisting Monomaternalism in Adoptive, Lesbian, Blended, and Polygamous Families</t>
  </si>
  <si>
    <t>Park, Shelley M.</t>
  </si>
  <si>
    <t>Motherhood. ; Lesbian mothers. ; Adoptive parents. ; Interracial adoption. ; Families. ; Queer theory.</t>
  </si>
  <si>
    <t>https://ebookcentral.proquest.com/lib/viva-active/detail.action?docID=3408719</t>
  </si>
  <si>
    <t>Youth Peacebuilding : Music, Gender, and Change</t>
  </si>
  <si>
    <t>SUNY Series, Praxis: Theory in Action Ser.</t>
  </si>
  <si>
    <t>Pruitt, Lesley J.</t>
  </si>
  <si>
    <t>Youth and peace. ; Children and peace. ; Peace-building. ; Peace -- Songs and music. ; Youth -- Political activity.</t>
  </si>
  <si>
    <t>https://ebookcentral.proquest.com/lib/viva-active/detail.action?docID=3408724</t>
  </si>
  <si>
    <t>Yemoja : Gender, Sexuality, and Creativity in the Latina/o and Afro-Atlantic Diasporas</t>
  </si>
  <si>
    <t>Otero, Solimar;Falola, Toyin</t>
  </si>
  <si>
    <t>African diaspora in art. ; Afro-Caribbean cults. ; Cultural fusion and the arts. ; Goddesses in art. ; Mother goddesses. ; Orishas in art. ; Sex in art.</t>
  </si>
  <si>
    <t>https://ebookcentral.proquest.com/lib/viva-active/detail.action?docID=3408785</t>
  </si>
  <si>
    <t>Tough Love : Sexuality, Compassion, and the Christian Right</t>
  </si>
  <si>
    <t>Burack, Cynthia</t>
  </si>
  <si>
    <t>Abortion -- Religious aspects -- Christianity. ; Christian conservatism -- United States. ; Christianity and politics -- United States. ; Church and social problems -- United States. ; Compassion -- Religious aspects -- Christianity. ; Conservatism -- Religious aspects -- Christianity. ; Homophobia -- Religious aspects -- Christianity.</t>
  </si>
  <si>
    <t>https://ebookcentral.proquest.com/lib/viva-active/detail.action?docID=3408791</t>
  </si>
  <si>
    <t>Virtual Intimacies : Media, Affect, and Queer Sociality</t>
  </si>
  <si>
    <t>McGlotten, Shaka</t>
  </si>
  <si>
    <t>Computer networks -- Social aspects. ; Gay men -- Sexual behavior. ; Internet -- Social aspects. ; Interpersonal communication.</t>
  </si>
  <si>
    <t>https://ebookcentral.proquest.com/lib/viva-active/detail.action?docID=3408799</t>
  </si>
  <si>
    <t>Reproduction, Race, and Gender in Philosophy and the Early Life Sciences</t>
  </si>
  <si>
    <t>SUNY Series, Philosophy and Race Ser.</t>
  </si>
  <si>
    <t>Lettow, Susanne</t>
  </si>
  <si>
    <t>Race -- Philosophy. ; Human reproduction -- Philosophy. ; Sex -- Philosophy.</t>
  </si>
  <si>
    <t>https://ebookcentral.proquest.com/lib/viva-active/detail.action?docID=3408828</t>
  </si>
  <si>
    <t>Slouching Towards Gaytheism : Christianity and Queer Survival in America</t>
  </si>
  <si>
    <t>Harris, W. C.</t>
  </si>
  <si>
    <t>Homosexuality -- Religious aspects -- Christianity. ; Homosexuality -- United States.</t>
  </si>
  <si>
    <t>https://ebookcentral.proquest.com/lib/viva-active/detail.action?docID=3408849</t>
  </si>
  <si>
    <t>Grassroots Literacies : Lesbian and Gay Activism and the Internet in Turkey</t>
  </si>
  <si>
    <t>SUNY Series, Praxis : Theory in Action</t>
  </si>
  <si>
    <t>Görkemli, Serkan</t>
  </si>
  <si>
    <t>Gay rights -- Turkey. ; Gay liberation movement -- Turkey. ; Gays -- Political activity -- Turkey. ; Internet -- Political aspects.</t>
  </si>
  <si>
    <t>https://ebookcentral.proquest.com/lib/viva-active/detail.action?docID=3408871</t>
  </si>
  <si>
    <t>Integral Voices on Sex, Gender, and Sexuality : Critical Inquiries</t>
  </si>
  <si>
    <t>SUNY Series in Integral Theory Ser.</t>
  </si>
  <si>
    <t>Nicholson, Sarah E.;Fisher, Vanessa D.</t>
  </si>
  <si>
    <t>Feminism. ; Gender identity. ; Masculinity. ; Man-woman relationships.</t>
  </si>
  <si>
    <t>https://ebookcentral.proquest.com/lib/viva-active/detail.action?docID=3408905</t>
  </si>
  <si>
    <t>Desiring Emancipation : New Women and Homosexuality in Germany, 1890-1933</t>
  </si>
  <si>
    <t>Lybeck, Marti M.</t>
  </si>
  <si>
    <t>Lesbianism -- Germany -- History -- 19th century. ; Lesbianism -- Germany -- History -- 20th century. ; Lesbians -- Germany -- History -- 19th century. ; Lesbians -- Germany -- History -- 20th century.</t>
  </si>
  <si>
    <t>https://ebookcentral.proquest.com/lib/viva-active/detail.action?docID=3408906</t>
  </si>
  <si>
    <t>Desbordes : Translating Racial, Ethnic, Sexual, and Gender Identities across the Americas</t>
  </si>
  <si>
    <t>SUNY series, Genders in the Global South</t>
  </si>
  <si>
    <t xml:space="preserve">Viteri, María-Amelia;Vidal-Ortiz, Salvador;Vidal-Ortiz, Professor Salvador </t>
  </si>
  <si>
    <t>Gays -- Latin America -- Identity. ; Gays -- United States -- Identity. ; Gay immigrants -- United States. ; Latin Americans -- United States. ; United States -- Emigration and immigration -- Social aspects. ; Latin America -- Emigration and immigration -- Social aspects.</t>
  </si>
  <si>
    <t>https://ebookcentral.proquest.com/lib/viva-active/detail.action?docID=3408931</t>
  </si>
  <si>
    <t>Regulating Desire : From the Virtuous Maiden to the Purity Princess</t>
  </si>
  <si>
    <t>Ehrlich, J. Shoshanna</t>
  </si>
  <si>
    <t>Young women -- Sexual behavior -- United States -- History. ; Sex crimes -- United States -- History. ; Seduction -- United States -- History. ; Premarital sex -- United States -- History. ; Sexual ethics -- United States -- History.</t>
  </si>
  <si>
    <t>https://ebookcentral.proquest.com/lib/viva-active/detail.action?docID=3408934</t>
  </si>
  <si>
    <t>Faculty Fathers : Toward a New Ideal in the Research University</t>
  </si>
  <si>
    <t>Sallee, Margaret W.</t>
  </si>
  <si>
    <t>College teachers -- United States -- Leaves of absence -- Case studies. ; College teachers -- Family relationships -- United States -- Case studies. ; Male teachers -- United States -- Leaves of absence -- Case studies. ; Male teachers -- Family relationships -- United States -- Case studies. ; Parental leave -- United States -- Case studies. ; Sex differences in education -- United States -- Case studies.</t>
  </si>
  <si>
    <t>https://ebookcentral.proquest.com/lib/viva-active/detail.action?docID=3408946</t>
  </si>
  <si>
    <t>Off the Straight Path : Illicit Sex, Law, and Community in Ottoman Aleppo</t>
  </si>
  <si>
    <t>Syracuse University Press</t>
  </si>
  <si>
    <t>Gender, Culture, and Politics in the Middle East Ser.</t>
  </si>
  <si>
    <t>Semerdijan, Elyse</t>
  </si>
  <si>
    <t>Customary law (Islamic law) - Syria - Aleppo</t>
  </si>
  <si>
    <t>https://ebookcentral.proquest.com/lib/viva-active/detail.action?docID=3410082</t>
  </si>
  <si>
    <t>Masculine Identity in the Fiction of the Arab East Since 1967</t>
  </si>
  <si>
    <t>Aghacy, Samira</t>
  </si>
  <si>
    <t>Arabic fiction -- 20th century -- History and criticism. ; Masculinity in literature. ; War in literature. ; Patriarchy in literature.</t>
  </si>
  <si>
    <t>https://ebookcentral.proquest.com/lib/viva-active/detail.action?docID=3410083</t>
  </si>
  <si>
    <t>The Erotic</t>
  </si>
  <si>
    <t>Andreas-Salome, Lou;Del Nevo, Matthew;Winship, Gary;Crisp, John</t>
  </si>
  <si>
    <t>Love. ; Sex.</t>
  </si>
  <si>
    <t>https://ebookcentral.proquest.com/lib/viva-active/detail.action?docID=3411152</t>
  </si>
  <si>
    <t>Gender Violence at the U. S. -Mexico Border : Media Representation and Public Response</t>
  </si>
  <si>
    <t>University of Arizona Press</t>
  </si>
  <si>
    <t>Domínguez-Ruvalcaba, Héctor;Corona, Ignacio;Domínguez-Ruvalcaba, Héctor</t>
  </si>
  <si>
    <t>Mass media and crime - Mexico</t>
  </si>
  <si>
    <t>https://ebookcentral.proquest.com/lib/viva-active/detail.action?docID=3411745</t>
  </si>
  <si>
    <t>Gay Male Pornography : An Issue of Sex Discrimination</t>
  </si>
  <si>
    <t>UBC Press</t>
  </si>
  <si>
    <t>Law and Society</t>
  </si>
  <si>
    <t>Kendall, Christopher N.</t>
  </si>
  <si>
    <t>Butler, Donald Victor -- Trials, litigation, etc. ; Butler, Donald Victor -- Procès, instances, etc. ; Little Sister''s Book and Art Emporium -- Trials, litigation, etc. ; Little Sister''s Book &amp; Art Emporium -- Procès, instances, etc. ; Pornography -- Social aspects -- Canada. ; Pornography -- Law and legislation -- Canada. ; Homophobia -- Canada.</t>
  </si>
  <si>
    <t>https://ebookcentral.proquest.com/lib/viva-active/detail.action?docID=3412030</t>
  </si>
  <si>
    <t>Every Inch a Woman : Phallic Possession, Femininity, and the Text</t>
  </si>
  <si>
    <t>Sexuality Studies Series</t>
  </si>
  <si>
    <t>Brooks, Carellin</t>
  </si>
  <si>
    <t>Gender identity in literature. ; Women in literature. ; Penis in literature. ; Femininity in literature. ; Masculinity in literature. ; Fetishism in literature. ; Literature, Modern -- 20th century -- History and criticism.</t>
  </si>
  <si>
    <t>https://ebookcentral.proquest.com/lib/viva-active/detail.action?docID=3412132</t>
  </si>
  <si>
    <t>Gender and Change in Hong Kong : Globalization, Postcolonialism, and Chinese Patriarchy</t>
  </si>
  <si>
    <t>Contemporary Chinese Studies Series</t>
  </si>
  <si>
    <t>Lee, Eliza Wing-Yee</t>
  </si>
  <si>
    <t>Women -- China -- Hong Kong -- Social conditions. ; Women -- China -- Hong Kong -- Economic conditions. ; Women in development -- China -- Hong Kong. ; Postcolonialism -- China -- Hong Kong. ; Patriarchy -- China -- Hong Kong.</t>
  </si>
  <si>
    <t>https://ebookcentral.proquest.com/lib/viva-active/detail.action?docID=3412225</t>
  </si>
  <si>
    <t>Sexing the Teacher : School Sex Scandals and Queer Pedagogies</t>
  </si>
  <si>
    <t>Sexuality Studies</t>
  </si>
  <si>
    <t>Cavanagh, Sheila L.</t>
  </si>
  <si>
    <t>Women teachers -- Sexual behavior. ; Child sexual abuse by teachers. ; Sexually abused boys. ; Teacher-student relationships. ; Queer theory. ; Feminist film criticism.</t>
  </si>
  <si>
    <t>https://ebookcentral.proquest.com/lib/viva-active/detail.action?docID=3412357</t>
  </si>
  <si>
    <t>Queer Youth in the Province of the Severely Normal</t>
  </si>
  <si>
    <t>Filax, Gloria</t>
  </si>
  <si>
    <t>Gay youth -- Alberta -- History -- 20th century. ; Gay youth -- Government policy -- Alberta -- History -- 20th century. ; Homophobia -- Alberta -- History -- 20th century. ; Homophobia -- Press coverage -- Alberta -- History -- 20th century. ; Jeunes homosexuels -- Alberta -- Histoire -- 20e siècle. ; Jeunes homosexuels -- Politique gouvernementale -- Alberta -- 20e siècle. ; Homophobie -- Alberta -- 20e siècle.</t>
  </si>
  <si>
    <t>https://ebookcentral.proquest.com/lib/viva-active/detail.action?docID=3412392</t>
  </si>
  <si>
    <t>Undercurrents : Queer Culture and Postcolonial Hong Kong</t>
  </si>
  <si>
    <t>Leung, Helen Hok-Sze</t>
  </si>
  <si>
    <t>Homosexuality and art -- China -- Hong Kong -- History. ; Homosexuality and motion pictures -- China -- Hong Kong -- History. ; Gays in popular culture -- China -- Hong Kong -- History. ; Homosexuality -- Social aspects -- China -- Hong Kong -- History. ; Hong Kong (China) -- History -- Transfer of Sovereignty from Great Britain, 1997.</t>
  </si>
  <si>
    <t>https://ebookcentral.proquest.com/lib/viva-active/detail.action?docID=3412604</t>
  </si>
  <si>
    <t>Judging Homosexuals : A History of Gay Persecution in Quebec and France</t>
  </si>
  <si>
    <t xml:space="preserve">Corriveau, Patrice;Adam, Barry;Roth, Kathe </t>
  </si>
  <si>
    <t>Homosexuality -- Social aspects -- Québec (Province) -- History. ; Homosexuality -- Social aspects -- France -- History. ; Gays -- Legal status, laws, etc. -- Québec (Province) -- History. ; Gays -- Legal status, laws, etc. -- France -- History.</t>
  </si>
  <si>
    <t>https://ebookcentral.proquest.com/lib/viva-active/detail.action?docID=3412665</t>
  </si>
  <si>
    <t>Faith, Politics, and Sexual Diversity in Canada and the United States</t>
  </si>
  <si>
    <t>Rayside, David;Wilcox, Clyde</t>
  </si>
  <si>
    <t>Gay rights -- Canada -- Religious aspects. ; Gay rights -- United States -- Religious aspects. ; Same-sex marriage -- Canada -- Religious aspects. ; Same-sex marriage -- United States -- Religious aspects. ; Gay rights -- Canada -- Public opinion. ; Gay rights -- United States -- Public opinion. ; Homosexuality -- Religious aspects.</t>
  </si>
  <si>
    <t>https://ebookcentral.proquest.com/lib/viva-active/detail.action?docID=3412673</t>
  </si>
  <si>
    <t>Backstage Economies : Labour and Masculinities in Contemporary European Dance</t>
  </si>
  <si>
    <t>University of Chester Press</t>
  </si>
  <si>
    <t>Njaradi, Dunja</t>
  </si>
  <si>
    <t>Dance -- Europe. ; Modern dance -- Europe. ; Modern dance.</t>
  </si>
  <si>
    <t>https://ebookcentral.proquest.com/lib/viva-active/detail.action?docID=3413013</t>
  </si>
  <si>
    <t>Figures of Resistance : Essays in Feminist Theory</t>
  </si>
  <si>
    <t>University of Illinois Press</t>
  </si>
  <si>
    <t>de Lauretis, Teresa;White, Patricia</t>
  </si>
  <si>
    <t>Lesbianism</t>
  </si>
  <si>
    <t>https://ebookcentral.proquest.com/lib/viva-active/detail.action?docID=3413868</t>
  </si>
  <si>
    <t>Compañeros : Latino Activists in the Face of AIDS</t>
  </si>
  <si>
    <t>Latinos in Chicago and Midwest Ser.</t>
  </si>
  <si>
    <t>Ramirez-Valles, Jesus</t>
  </si>
  <si>
    <t>Hispanic American sexual minorities - Political activity - United States</t>
  </si>
  <si>
    <t>https://ebookcentral.proquest.com/lib/viva-active/detail.action?docID=3413884</t>
  </si>
  <si>
    <t>From Jim Crow to Jay-Z : Race, Rap, and the Performance of Masculinity</t>
  </si>
  <si>
    <t>African Amer Music in Global Perspective Ser.</t>
  </si>
  <si>
    <t>White, Miles</t>
  </si>
  <si>
    <t>Music and race</t>
  </si>
  <si>
    <t>https://ebookcentral.proquest.com/lib/viva-active/detail.action?docID=3413906</t>
  </si>
  <si>
    <t>Fatherhood Politics in the United States : Masculinity, Sexuality, Race, and Marriage</t>
  </si>
  <si>
    <t>Gavanas, Anna</t>
  </si>
  <si>
    <t>Sex role - United States.</t>
  </si>
  <si>
    <t>https://ebookcentral.proquest.com/lib/viva-active/detail.action?docID=3413943</t>
  </si>
  <si>
    <t>Gender Meets Genre in Postwar Cinemas</t>
  </si>
  <si>
    <t>Gledhill, Christine</t>
  </si>
  <si>
    <t>Motion pictures and women</t>
  </si>
  <si>
    <t>https://ebookcentral.proquest.com/lib/viva-active/detail.action?docID=3413971</t>
  </si>
  <si>
    <t>Queering Gay and Lesbian Studies</t>
  </si>
  <si>
    <t>Piontek, Thomas</t>
  </si>
  <si>
    <t>https://ebookcentral.proquest.com/lib/viva-active/detail.action?docID=3414006</t>
  </si>
  <si>
    <t>Pre-Gay L. A. : A Social History of the Movement for Homosexual Rights</t>
  </si>
  <si>
    <t>White, C. Todd</t>
  </si>
  <si>
    <t>ONE Institute of Homophile Studies</t>
  </si>
  <si>
    <t>https://ebookcentral.proquest.com/lib/viva-active/detail.action?docID=3414014</t>
  </si>
  <si>
    <t>Global Masculinities and Manhood</t>
  </si>
  <si>
    <t>Jackson, Ronald L.;Balaji, Murali;Asante, Molefi</t>
  </si>
  <si>
    <t>SOCIAL SCIENCE / Media Studies</t>
  </si>
  <si>
    <t>https://ebookcentral.proquest.com/lib/viva-active/detail.action?docID=3414030</t>
  </si>
  <si>
    <t>AsiaPacifiQueer : Rethinking Genders and Sexualities</t>
  </si>
  <si>
    <t>Martin, Fran;McLelland, Mark;Yue, Audrey;Jackson, Peter</t>
  </si>
  <si>
    <t>Gays in popular culture - Asia</t>
  </si>
  <si>
    <t>https://ebookcentral.proquest.com/lib/viva-active/detail.action?docID=3414032</t>
  </si>
  <si>
    <t>Voting the Gender Gap</t>
  </si>
  <si>
    <t>Whitaker, Lois Duke</t>
  </si>
  <si>
    <t>Women - Political activity - United States - History - 21st century</t>
  </si>
  <si>
    <t>https://ebookcentral.proquest.com/lib/viva-active/detail.action?docID=3414056</t>
  </si>
  <si>
    <t>Rape in Chicago : Race, Myth, and the Courts</t>
  </si>
  <si>
    <t>Women, Gender, and Sexuality in American History Ser.</t>
  </si>
  <si>
    <t>Flood, Dawn Rae</t>
  </si>
  <si>
    <t>African Americans - Sexual behavior - Illinois - Chicago</t>
  </si>
  <si>
    <t>https://ebookcentral.proquest.com/lib/viva-active/detail.action?docID=3414057</t>
  </si>
  <si>
    <t>Been a Heavy Life : Stories of Violent Men</t>
  </si>
  <si>
    <t>Critical Perspectives in Criminology Ser.</t>
  </si>
  <si>
    <t>Presser, Lois</t>
  </si>
  <si>
    <t>Violence in men</t>
  </si>
  <si>
    <t>https://ebookcentral.proquest.com/lib/viva-active/detail.action?docID=3414071</t>
  </si>
  <si>
    <t>The Third Sex</t>
  </si>
  <si>
    <t>Schehr, Lawrence R.;Willy, Lawrence R.</t>
  </si>
  <si>
    <t>Gays</t>
  </si>
  <si>
    <t>https://ebookcentral.proquest.com/lib/viva-active/detail.action?docID=3414082</t>
  </si>
  <si>
    <t>Sex Goes to School : Girls and Sex Education Before The 1960s</t>
  </si>
  <si>
    <t>Freeman, Susan K.</t>
  </si>
  <si>
    <t>Sex instruction for girls - United States - History - 20th century</t>
  </si>
  <si>
    <t>https://ebookcentral.proquest.com/lib/viva-active/detail.action?docID=3414137</t>
  </si>
  <si>
    <t>Baad Bitches and Sassy Supermamas : Black Power Action Films</t>
  </si>
  <si>
    <t>New Black Studies Ser.</t>
  </si>
  <si>
    <t>Dunn, Stephane</t>
  </si>
  <si>
    <t>African American women heroes in motion pictures</t>
  </si>
  <si>
    <t>https://ebookcentral.proquest.com/lib/viva-active/detail.action?docID=3414183</t>
  </si>
  <si>
    <t>Todd Haynes</t>
  </si>
  <si>
    <t>Contemporary Film Directors Ser.</t>
  </si>
  <si>
    <t>White, Rob</t>
  </si>
  <si>
    <t>Haynes, Todd - Criticism and interpretation</t>
  </si>
  <si>
    <t>https://ebookcentral.proquest.com/lib/viva-active/detail.action?docID=3414221</t>
  </si>
  <si>
    <t>Strange Natures : Futurity, Empathy, and the Queer Ecological Imagination</t>
  </si>
  <si>
    <t>Seymour, Nicole</t>
  </si>
  <si>
    <t>Human ecology - Study and teaching</t>
  </si>
  <si>
    <t>https://ebookcentral.proquest.com/lib/viva-active/detail.action?docID=3414239</t>
  </si>
  <si>
    <t>Transformation Now! : Toward a Post-Oppositional Politics of Change</t>
  </si>
  <si>
    <t>Keating, AnaLouise</t>
  </si>
  <si>
    <t>Identity politics - United States</t>
  </si>
  <si>
    <t>https://ebookcentral.proquest.com/lib/viva-active/detail.action?docID=3414316</t>
  </si>
  <si>
    <t>The Battle over Marriage : Gay Rights Activism Through the Media</t>
  </si>
  <si>
    <t>Moscowitz, Leigh</t>
  </si>
  <si>
    <t>Gay rights - Press coverage - United States</t>
  </si>
  <si>
    <t>https://ebookcentral.proquest.com/lib/viva-active/detail.action?docID=3414318</t>
  </si>
  <si>
    <t>Global Homophobia : States, Movements, and the Politics of Oppression</t>
  </si>
  <si>
    <t>Weiss, Meredith L.;Bosia, Michael J.</t>
  </si>
  <si>
    <t>Homofobi</t>
  </si>
  <si>
    <t>https://ebookcentral.proquest.com/lib/viva-active/detail.action?docID=3414319</t>
  </si>
  <si>
    <t>Roll over, Tchaikovsky! : Russian Popular Music and Post-Soviet Homosexuality</t>
  </si>
  <si>
    <t>New Perspectives on Gender in Music Ser.</t>
  </si>
  <si>
    <t>Amico, Stephen</t>
  </si>
  <si>
    <t>Popular music - Social aspects - Russia</t>
  </si>
  <si>
    <t>https://ebookcentral.proquest.com/lib/viva-active/detail.action?docID=3414346</t>
  </si>
  <si>
    <t>Terence Davies : Terence Davies</t>
  </si>
  <si>
    <t>Koresky, Michael</t>
  </si>
  <si>
    <t>Davies, Terence</t>
  </si>
  <si>
    <t>https://ebookcentral.proquest.com/lib/viva-active/detail.action?docID=3414395</t>
  </si>
  <si>
    <t>Stunning Males and Powerful Females : Gender and Tradition in East Javanese Dance</t>
  </si>
  <si>
    <t>Sunardi, Christina</t>
  </si>
  <si>
    <t>Folk dancing, Javanese -- Indonesia -- Java. ; Dance -- Indonesia -- Java. ; Dance -- Social aspects -- Indonesia -- Java. ; Dance -- Sex differences. ; Java (Indonesia) -- Social life and customs.</t>
  </si>
  <si>
    <t>https://ebookcentral.proquest.com/lib/viva-active/detail.action?docID=3414425</t>
  </si>
  <si>
    <t>When Sex Threatened the State : Illicit Sexuality, Nationalism, and Politics in Colonial Nigeria, 1900-1958</t>
  </si>
  <si>
    <t>Aderinto, Saheed</t>
  </si>
  <si>
    <t>Nigeria - Social policy - 20th century</t>
  </si>
  <si>
    <t>https://ebookcentral.proquest.com/lib/viva-active/detail.action?docID=3414456</t>
  </si>
  <si>
    <t>Joyce/Foucault : Sexual Confessions</t>
  </si>
  <si>
    <t>University of Michigan Press</t>
  </si>
  <si>
    <t>Streit, Wolfgang</t>
  </si>
  <si>
    <t>Confession in literature</t>
  </si>
  <si>
    <t>https://ebookcentral.proquest.com/lib/viva-active/detail.action?docID=3414629</t>
  </si>
  <si>
    <t>Cultural Conundrums : Gender, Race, Nation, and the Making of Caribbean Cultural Politics</t>
  </si>
  <si>
    <t>Barnes, Natasha</t>
  </si>
  <si>
    <t>Caribbean Area - Social conditions</t>
  </si>
  <si>
    <t>https://ebookcentral.proquest.com/lib/viva-active/detail.action?docID=3414680</t>
  </si>
  <si>
    <t>Outside the Lines : Talking with Contemporary Gay Poets</t>
  </si>
  <si>
    <t>Hennessy, Christopher</t>
  </si>
  <si>
    <t>Homosexuality and literature - United States - History - 20th century.</t>
  </si>
  <si>
    <t>https://ebookcentral.proquest.com/lib/viva-active/detail.action?docID=3414742</t>
  </si>
  <si>
    <t>Policy Issues Affecting Lesbian, Gay, Bisexual, and Transgender Families</t>
  </si>
  <si>
    <t>Cahill, Sean;Tobias, Sarah</t>
  </si>
  <si>
    <t>Sexual minorities - Legal status, laws, etc - United States</t>
  </si>
  <si>
    <t>https://ebookcentral.proquest.com/lib/viva-active/detail.action?docID=3414875</t>
  </si>
  <si>
    <t>Transcribing Class and Gender : Masculinity and Femininity in Nineteenth-Century Courts and Offices</t>
  </si>
  <si>
    <t>Class : Culture Ser.</t>
  </si>
  <si>
    <t>Srole, Carol</t>
  </si>
  <si>
    <t>Femininity - United States - History - 19th century</t>
  </si>
  <si>
    <t>https://ebookcentral.proquest.com/lib/viva-active/detail.action?docID=3414895</t>
  </si>
  <si>
    <t>Transforming Masculine Rule : Agriculture and Rural Development in the European Union</t>
  </si>
  <si>
    <t>Prügl, Elisabeth M.;Prügl, Elisabeth</t>
  </si>
  <si>
    <t>Women agricultural laborers - European Union countries</t>
  </si>
  <si>
    <t>https://ebookcentral.proquest.com/lib/viva-active/detail.action?docID=3415008</t>
  </si>
  <si>
    <t>Performing Queer Latinidad : Dance, Sexuality, Politics</t>
  </si>
  <si>
    <t>Triangulations: Lesbian/Gay/Queer Theater/Drama/Performance Ser.</t>
  </si>
  <si>
    <t xml:space="preserve">Rivera-Servera, Ramon;Rivera-Servera, Ramon </t>
  </si>
  <si>
    <t>Homosexuality and theater</t>
  </si>
  <si>
    <t>https://ebookcentral.proquest.com/lib/viva-active/detail.action?docID=3415106</t>
  </si>
  <si>
    <t>The Paradox of Gender Equality : How American Women's Groups Gained and Lost Their Public Voice</t>
  </si>
  <si>
    <t>The CAWP Series in Gender and American Politics Ser.</t>
  </si>
  <si>
    <t>Goss, Kristin A.</t>
  </si>
  <si>
    <t>Women - Political activity - United States</t>
  </si>
  <si>
    <t>https://ebookcentral.proquest.com/lib/viva-active/detail.action?docID=3415111</t>
  </si>
  <si>
    <t>Running Scared : Masculinity and the Representation of the Male Body</t>
  </si>
  <si>
    <t>Wayne State University Press</t>
  </si>
  <si>
    <t>Contemporary Approaches to Film and Television</t>
  </si>
  <si>
    <t>Lehman, Peter</t>
  </si>
  <si>
    <t>Men in motion pictures. ; Masculinity in motion pictures. ; Men in popular culture. ; Sex role in motion pictures.</t>
  </si>
  <si>
    <t>https://ebookcentral.proquest.com/lib/viva-active/detail.action?docID=3416384</t>
  </si>
  <si>
    <t>If We Must Die : From Bigger Thomas to Biggie Smalls</t>
  </si>
  <si>
    <t>African American Life Series</t>
  </si>
  <si>
    <t xml:space="preserve">Ellis, Aimé J.;Ellis, Aim J </t>
  </si>
  <si>
    <t>African American men -- Social conditions. ; African American men -- Psychology. ; Masculinity -- Social aspects -- United States. ; Death -- Social aspects -- United States. ; Masculinity -- United States -- Psychological aspects. ; Death -- United States -- Psychological aspects. ; Racism -- United States -- History.</t>
  </si>
  <si>
    <t>https://ebookcentral.proquest.com/lib/viva-active/detail.action?docID=3416418</t>
  </si>
  <si>
    <t>Soldiers, Rebels, and Drifters : Gay Representation in Israeli Cinema</t>
  </si>
  <si>
    <t>Cohen, Nir</t>
  </si>
  <si>
    <t>Homosexuality in motion pictures. ; Gays in motion pictures. ; Motion pictures -- Israel.</t>
  </si>
  <si>
    <t>https://ebookcentral.proquest.com/lib/viva-active/detail.action?docID=3416440</t>
  </si>
  <si>
    <t>Reading the Bromance : Homosocial Relationships in Film and Television</t>
  </si>
  <si>
    <t xml:space="preserve">DeAngelis, Michael;Radner, Author Hilary ;Greven, David ;Davis, Associate Professor of English Nick ;Sen, Meheli ;Weinman, Jenna ;Feil, Author Ken ;Forster, Peter ;Lennard, Dominic ;Becker, Associate Professor Ron </t>
  </si>
  <si>
    <t>Masculinity in motion pictures. ; Masculinity on television. ; Homosexuality in motion pictures. ; Homosexuality on television.</t>
  </si>
  <si>
    <t>https://ebookcentral.proquest.com/lib/viva-active/detail.action?docID=3416622</t>
  </si>
  <si>
    <t>L Word</t>
  </si>
  <si>
    <t>McFadden, Margaret T.</t>
  </si>
  <si>
    <t>L word (Television program) ; Lesbianism on television. ; Homosexuality on television. ; Lesbians in popular culture.</t>
  </si>
  <si>
    <t>https://ebookcentral.proquest.com/lib/viva-active/detail.action?docID=3416628</t>
  </si>
  <si>
    <t>Reversing Field : Examining Commercialization, Labor, Gender, and Race in 21st Century Sports Law</t>
  </si>
  <si>
    <t>West Virginia University Press</t>
  </si>
  <si>
    <t>Lofaso, Anne Marie;cummings, andre douglas pond;Cummings, Andre Douglas Pond;Lofaso, Anne Marie</t>
  </si>
  <si>
    <t>Sports -- Law and legislation -- United States.</t>
  </si>
  <si>
    <t>https://ebookcentral.proquest.com/lib/viva-active/detail.action?docID=3417017</t>
  </si>
  <si>
    <t>Manliness</t>
  </si>
  <si>
    <t>Yale University Press</t>
  </si>
  <si>
    <t>Mansfield, Harvey C.</t>
  </si>
  <si>
    <t>Masculinity. ; Masculinity -- Political aspects. ; Sex role. ; Assertiveness (Psychology) ; Nature and nurture. ; Feminism. ; Manliness</t>
  </si>
  <si>
    <t>https://ebookcentral.proquest.com/lib/viva-active/detail.action?docID=3419937</t>
  </si>
  <si>
    <t>Same Sex, Different States : When Same-Sex Marriages Cross State Lines</t>
  </si>
  <si>
    <t>Koppelman, Andrew</t>
  </si>
  <si>
    <t>Same-sex marriage -- Law and legislation -- United States -- States. ; Interstate agreements -- United States.</t>
  </si>
  <si>
    <t>https://ebookcentral.proquest.com/lib/viva-active/detail.action?docID=3420379</t>
  </si>
  <si>
    <t>A Right to Discriminate? : How the Case of Boy Scouts of America V. James Dale Warped the Law of Free Association</t>
  </si>
  <si>
    <t>Koppelman, Andrew;Wolff, Tobias B</t>
  </si>
  <si>
    <t>Dale, James -- Trials, litigation, etc. ; Boy Scouts of America -- Trials, litigation, etc. ; Freedom of association -- United States. ; Discrimination -- Law and legislation -- United States. ; Associations, institutions, etc. -- Law and legislation -- United States. ; Boy Scouts -- Legal status, laws, etc. -- United States. ; Gays -- Legal status, laws, etc. -- United States.</t>
  </si>
  <si>
    <t>https://ebookcentral.proquest.com/lib/viva-active/detail.action?docID=3420561</t>
  </si>
  <si>
    <t>Boyhoods : Rethinking Masculinities</t>
  </si>
  <si>
    <t>Corbett, Ken</t>
  </si>
  <si>
    <t>Boys -- Psychology. ; Masculinity -- United States. ; Sex role -- United States.</t>
  </si>
  <si>
    <t>https://ebookcentral.proquest.com/lib/viva-active/detail.action?docID=3420590</t>
  </si>
  <si>
    <t>Conversions : Two Family Stories from the Reformation and Modern America</t>
  </si>
  <si>
    <t>New Directions in Narrative History</t>
  </si>
  <si>
    <t>Harline, Craig</t>
  </si>
  <si>
    <t>Rolandus, Jacob. ; Catholic converts -- Family relationships -- Netherlands. ; Mormon converts -- Family relationships. ; Mormon gays -- Religious life.</t>
  </si>
  <si>
    <t>https://ebookcentral.proquest.com/lib/viva-active/detail.action?docID=3420731</t>
  </si>
  <si>
    <t>Uncloseting Drama : American Modernism and Queer Performance</t>
  </si>
  <si>
    <t>Yale Studies in English</t>
  </si>
  <si>
    <t>Salvato, Nick</t>
  </si>
  <si>
    <t>Gays'' writings, American. ; Modernism (Literature)</t>
  </si>
  <si>
    <t>https://ebookcentral.proquest.com/lib/viva-active/detail.action?docID=3420928</t>
  </si>
  <si>
    <t>Sex and Religion in the Bible</t>
  </si>
  <si>
    <t>Carmichael, Calum</t>
  </si>
  <si>
    <t>Sex -- Biblical teaching. ; Sex in the Bible.</t>
  </si>
  <si>
    <t>https://ebookcentral.proquest.com/lib/viva-active/detail.action?docID=3421188</t>
  </si>
  <si>
    <t>Household Politics : Conflict in Early Modern England</t>
  </si>
  <si>
    <t>Herzog, Don</t>
  </si>
  <si>
    <t>Households -- England -- History. ; Man-woman relationships -- England -- History. ; Misogyny -- England -- History.</t>
  </si>
  <si>
    <t>https://ebookcentral.proquest.com/lib/viva-active/detail.action?docID=3421207</t>
  </si>
  <si>
    <t>Intersectionality, Sexuality and Psychological Therapies : Working with Lesbian, Gay and Bisexual Diversity</t>
  </si>
  <si>
    <t>das Nair, Roshan;Butler, Catherine;das Nair, Roshan;Nair, Roshan das</t>
  </si>
  <si>
    <t>Gays--Mental health.</t>
  </si>
  <si>
    <t>https://ebookcentral.proquest.com/lib/viva-active/detail.action?docID=3422124</t>
  </si>
  <si>
    <t>Sexuality and the Body in New Religious Zionist Discourse</t>
  </si>
  <si>
    <t>Academic Studies Press</t>
  </si>
  <si>
    <t>Israel: Society, Culture, and History Ser.</t>
  </si>
  <si>
    <t>Englander, Yakir;Sagi, Avi;Cohen, Erik H.</t>
  </si>
  <si>
    <t>Political Science; Religion</t>
  </si>
  <si>
    <t>Sex instruction - Israel</t>
  </si>
  <si>
    <t>https://ebookcentral.proquest.com/lib/viva-active/detail.action?docID=3425619</t>
  </si>
  <si>
    <t>Prophets Male and Female : Gender and Prophecy in the Hebrew Bible, the Eastern Mediterranean, and The</t>
  </si>
  <si>
    <t>Ancient Israel and Its Literature Ser.</t>
  </si>
  <si>
    <t>Stökl, Jonathan;Carvalho, Corrine L.</t>
  </si>
  <si>
    <t>Sex role - Biblical teaching</t>
  </si>
  <si>
    <t>https://ebookcentral.proquest.com/lib/viva-active/detail.action?docID=3425756</t>
  </si>
  <si>
    <t>Coming Out : The New Dynamics</t>
  </si>
  <si>
    <t>Guittar, Nicholas A.</t>
  </si>
  <si>
    <t>https://ebookcentral.proquest.com/lib/viva-active/detail.action?docID=3433700</t>
  </si>
  <si>
    <t>Wallace Stevens among Others : Diva-Dames, Deleuze, and American Culture</t>
  </si>
  <si>
    <t>Jarraway, David R.</t>
  </si>
  <si>
    <t>Stevens, Wallace, -- 1879-1955 -- Criticism and interpretation. ; Deleuze, Gilles. ; Subjectivity in literature.</t>
  </si>
  <si>
    <t>https://ebookcentral.proquest.com/lib/viva-active/detail.action?docID=3433742</t>
  </si>
  <si>
    <t>Gender Differences at Critical Transitions in the Careers of Science, Engineering, and Mathematics Faculty</t>
  </si>
  <si>
    <t>National Research Council;Division of Behavioral and Social Sciences and Education;Committee on National Statistics;Policy and Global Affairs;Committee on Women in Science, Engineering, and Medicine;Committee on Gender Differences in Careers of Science, Engineering, and Mathematics Faculty</t>
  </si>
  <si>
    <t>Science; Economics</t>
  </si>
  <si>
    <t>Universities and colleges -- Faculty -- Employment -- Sex differences -- United States -- Statistics. ; Sex discrimination in employment -- United States. ; Sex discrimination in higher education -- United States. ; Women in science -- United States. ; Women in technology -- United States. ; Women in mathematics -- United States. ; Educational surveys -- United States.</t>
  </si>
  <si>
    <t>https://ebookcentral.proquest.com/lib/viva-active/detail.action?docID=3440080</t>
  </si>
  <si>
    <t>Sin in the City : Chicago and Revivalism, 1880-1920</t>
  </si>
  <si>
    <t>University of Missouri Press</t>
  </si>
  <si>
    <t>Joiner, Thekla Ellen</t>
  </si>
  <si>
    <t>Evangelistic work - Illinois - Chicago</t>
  </si>
  <si>
    <t>https://ebookcentral.proquest.com/lib/viva-active/detail.action?docID=3440706</t>
  </si>
  <si>
    <t>A Fatherless Child : Autobiographical Perspectives of African American Men</t>
  </si>
  <si>
    <t>Green, Tara T.</t>
  </si>
  <si>
    <t>Absentee fathers -- United States. ; African American men -- Psychology. ; African American men -- Social conditions. ; African American authors -- Biography. ; Children of single parents -- Psychology. ; Fatherless families -- United States. ; Fathers and sons -- United States.</t>
  </si>
  <si>
    <t>https://ebookcentral.proquest.com/lib/viva-active/detail.action?docID=3440724</t>
  </si>
  <si>
    <t>Gay Men Pursuing Parenthood via Surrogacy : Reconfiguring Kinship</t>
  </si>
  <si>
    <t>UNSW Press</t>
  </si>
  <si>
    <t>Murphy, Dean A.</t>
  </si>
  <si>
    <t>Gay men. ; Gay parents. ; Parenthood. ; Surrogate mothers. ; Kinship.</t>
  </si>
  <si>
    <t>https://ebookcentral.proquest.com/lib/viva-active/detail.action?docID=3440957</t>
  </si>
  <si>
    <t>Marriage and Violence : The Early Modern Legacy</t>
  </si>
  <si>
    <t>University of Pennsylvania Press</t>
  </si>
  <si>
    <t>Dolan, Frances E.</t>
  </si>
  <si>
    <t>Marriage -- History. ; Marriage -- England -- History. ; Marriage -- United States -- History. ; Marriage -- Religious aspects -- Christianity -- History. ; Marital violence. ; Abused wives. ; Sex role -- History.</t>
  </si>
  <si>
    <t>https://ebookcentral.proquest.com/lib/viva-active/detail.action?docID=3441407</t>
  </si>
  <si>
    <t>Cross-Border Marriages : Gender and Mobility in Transnational Asia</t>
  </si>
  <si>
    <t>Constable, Nicole</t>
  </si>
  <si>
    <t>Intercountry marriage. ; Intercountry marriage -- Asia. ; Social mobility. ; Women -- Asia. ; Asians -- Foreign countries.</t>
  </si>
  <si>
    <t>https://ebookcentral.proquest.com/lib/viva-active/detail.action?docID=3441421</t>
  </si>
  <si>
    <t>Food Is Love : Advertising and Gender Roles in Modern America</t>
  </si>
  <si>
    <t>Parkin, Katherine J.</t>
  </si>
  <si>
    <t>Sex role in advertising -- United States -- History. ; Advertising -- Food -- United States -- History. ; Women consumers -- United States -- History. ; Women in advertising -- United States -- History. ; Men in advertising -- United States -- History.</t>
  </si>
  <si>
    <t>https://ebookcentral.proquest.com/lib/viva-active/detail.action?docID=3441523</t>
  </si>
  <si>
    <t>Against the Wall : Poor, Young, Black, and Male</t>
  </si>
  <si>
    <t>The City in the Twenty-First Century Ser.</t>
  </si>
  <si>
    <t>Anderson, Elijah;West, Cornel</t>
  </si>
  <si>
    <t>African American men -- Psychology. ; African American men -- Social conditions. ; Inner cities -- United States. ; Urban poor -- United States.</t>
  </si>
  <si>
    <t>https://ebookcentral.proquest.com/lib/viva-active/detail.action?docID=3441625</t>
  </si>
  <si>
    <t>Stitching Identities in a Free Trade Zone : Gender and Politics in Sri Lanka</t>
  </si>
  <si>
    <t>Contemporary Ethnography Ser.</t>
  </si>
  <si>
    <t>Hewamanne, Sandya</t>
  </si>
  <si>
    <t>Women migrant labor -- Sri Lanka. ; Women -- Sri Lanka -- Social conditions. ; Women -- Sri Lanka -- Economic conditions. ; Sex role -- Sri Lanka. ; Free trade -- Sri Lanka.</t>
  </si>
  <si>
    <t>https://ebookcentral.proquest.com/lib/viva-active/detail.action?docID=3441662</t>
  </si>
  <si>
    <t>Radclyffe Hall : A Life in the Writing</t>
  </si>
  <si>
    <t>Haney Foundation Ser.</t>
  </si>
  <si>
    <t>Dellamora, Richard</t>
  </si>
  <si>
    <t>Hall, Radclyffe -- Criticism and interpretation. ; Lesbianism in literature. ; Spiritualism in literature.</t>
  </si>
  <si>
    <t>https://ebookcentral.proquest.com/lib/viva-active/detail.action?docID=3441719</t>
  </si>
  <si>
    <t>Pornographic Archaeology : Medicine, Medievalism, and the Invention of the French Nation</t>
  </si>
  <si>
    <t>Stahuljak, Zrinka</t>
  </si>
  <si>
    <t>Medical anthropology -- France -- History -- 19th century. ; Social archaeology -- France -- History -- 19th century. ; Medievalism -- France -- History -- 19th century. ; Sex -- France -- History. ; Heredity -- France -- History. ; National characteristics, French.</t>
  </si>
  <si>
    <t>https://ebookcentral.proquest.com/lib/viva-active/detail.action?docID=3441867</t>
  </si>
  <si>
    <t>Gender Stereotyping : Transnational Legal Perspectives</t>
  </si>
  <si>
    <t>Pennsylvania Studies in Human Rights Ser.</t>
  </si>
  <si>
    <t>Cook, Rebecca J.;Cusack, Simone</t>
  </si>
  <si>
    <t>Convention on the Elimination of All Forms of Discrimination against Women -- (1980) ; Sex discrimination against women -- Law and legislation. ; Stereotypes (Social psychology)</t>
  </si>
  <si>
    <t>https://ebookcentral.proquest.com/lib/viva-active/detail.action?docID=3441913</t>
  </si>
  <si>
    <t>Unmarriages : Women, Men, and Sexual Unions in the Middle Ages</t>
  </si>
  <si>
    <t>The Middle Ages Ser.</t>
  </si>
  <si>
    <t>Karras, Ruth Mazo</t>
  </si>
  <si>
    <t>Marriage -- Europe -- History -- To 1500. ; Marriage (Canon law) -- History -- To 1500. ; Unmarried couples -- Europe -- History -- To 1500. ; Unmarried couples (Canon law) -- History -- To 1500. ; Man-woman relationships -- Europe -- History -- To 1500. ; Mate selection -- Europe -- History -- To 1500.</t>
  </si>
  <si>
    <t>https://ebookcentral.proquest.com/lib/viva-active/detail.action?docID=3441935</t>
  </si>
  <si>
    <t>Abraham in Arms : War and Gender in Colonial New England</t>
  </si>
  <si>
    <t>Early American Studies</t>
  </si>
  <si>
    <t>Little, Ann M.</t>
  </si>
  <si>
    <t>English -- New England -- History -- 18th century. ; French -- New England -- History -- 18th century. ; Frontier and pioneer life -- New England. ; Indians of North America -- New England -- History. ; Masculinity -- New England -- History. ; Sex role -- New England -- History. ; New England -- Ethnic relations.</t>
  </si>
  <si>
    <t>https://ebookcentral.proquest.com/lib/viva-active/detail.action?docID=3442052</t>
  </si>
  <si>
    <t>Marriage, Sex, and Civic Culture in Late Medieval London</t>
  </si>
  <si>
    <t>McSheffrey, Shannon</t>
  </si>
  <si>
    <t>Marriage -- England -- London -- History -- To 1500. ; Marriage law -- England -- London -- History -- To 1500. ; Sex and law -- England -- London -- History -- To 1500. ; London (England) -- Social life and customs.</t>
  </si>
  <si>
    <t>https://ebookcentral.proquest.com/lib/viva-active/detail.action?docID=3442152</t>
  </si>
  <si>
    <t>Gender and Christianity in Medieval Europe : New Perspectives</t>
  </si>
  <si>
    <t>Bitel, Lisa M.;Lifshitz, Felice</t>
  </si>
  <si>
    <t>Sex role -- Religious aspects -- Christianity. ; Europe -- Church history.</t>
  </si>
  <si>
    <t>https://ebookcentral.proquest.com/lib/viva-active/detail.action?docID=3442163</t>
  </si>
  <si>
    <t>The Captive's Position : Female Narrative, Male Identity, and Royal Authority in Colonial New England</t>
  </si>
  <si>
    <t>Toulouse, Teresa A.</t>
  </si>
  <si>
    <t>Indian captivities -- New England -- History. ; Women -- New England -- History -- 17th century -- Sources. ; Women in literature. ; Indians in literature. ; Sex role in literature. ; Indians of North America -- History -- Colonial period, ca. 1600-1775. ; New England -- History -- Colonial period, ca. 1600-1775.</t>
  </si>
  <si>
    <t>https://ebookcentral.proquest.com/lib/viva-active/detail.action?docID=3442197</t>
  </si>
  <si>
    <t>Crossing Borders : Love Between Women in Medieval French and Arabic Literatures</t>
  </si>
  <si>
    <t>Amer, Sahar</t>
  </si>
  <si>
    <t>French literature -- To 1500 -- History and criticism. ; Arabic literature -- History and criticism. ; Lesbians in literature.</t>
  </si>
  <si>
    <t>https://ebookcentral.proquest.com/lib/viva-active/detail.action?docID=3442208</t>
  </si>
  <si>
    <t>The Good Women of the Parish : Gender and Religion after the Black Death</t>
  </si>
  <si>
    <t>French, Katherine L.</t>
  </si>
  <si>
    <t>Parishes -- England -- History -- To 1500. ; Parishes -- England -- History -- 16th century. ; Women -- Religious life -- England -- History -- To 1500. ; Women -- Religious life -- England -- History -- 16th century. ; Women in church work -- England -- History -- To 1500. ; Women in church work -- England -- History -- 16th century. ; Women -- England -- Social conditions -- 16th century.</t>
  </si>
  <si>
    <t>https://ebookcentral.proquest.com/lib/viva-active/detail.action?docID=3442231</t>
  </si>
  <si>
    <t>Nothing Natural Is Shameful : Sodomy and Science in Late Medieval Europe</t>
  </si>
  <si>
    <t>Cadden, Joan</t>
  </si>
  <si>
    <t>Male homosexuality -- Europe -- History -- To 1500. ; Philosophy, Medieval -- Europe -- History -- To 1500. ; Science, Medieval -- Europe -- History -- To 1500. ; Sodomy -- Europe -- History -- To 1500.</t>
  </si>
  <si>
    <t>https://ebookcentral.proquest.com/lib/viva-active/detail.action?docID=3442255</t>
  </si>
  <si>
    <t>Dangerously Sleepy : Overworked Americans and the Cult of Manly Wakefulness</t>
  </si>
  <si>
    <t>Derickson, Alan</t>
  </si>
  <si>
    <t>Hours of labor. ; Shift systems.</t>
  </si>
  <si>
    <t>https://ebookcentral.proquest.com/lib/viva-active/detail.action?docID=3442278</t>
  </si>
  <si>
    <t>Venomous Tongues : Speech and Gender in Late Medieval England</t>
  </si>
  <si>
    <t>Bardsley, Sandy</t>
  </si>
  <si>
    <t>English language -- Middle English, 1100-1500 -- Sex differences. ; Language and culture -- England -- History -- To 1500. ; Women -- History -- Middle Ages, 500-1500. ; Sex differences (Psychology) -- Great Britain -- History -- Medieval period, 1066-1485.</t>
  </si>
  <si>
    <t>https://ebookcentral.proquest.com/lib/viva-active/detail.action?docID=3442410</t>
  </si>
  <si>
    <t>Gay Voluntary Associations in New York : Public Sharing and Private Lives</t>
  </si>
  <si>
    <t>Shokeid, Moshe</t>
  </si>
  <si>
    <t>Gays -- New York (State) -- New York -- Societies, etc. ; Gay community -- New York (State) -- New York. ; Gays -- New York (State) -- New York -- Social life and customs. ; Associations, institutions, etc. -- New York (State) -- New York.</t>
  </si>
  <si>
    <t>https://ebookcentral.proquest.com/lib/viva-active/detail.action?docID=3442437</t>
  </si>
  <si>
    <t>Jesus Is Female : Moravians and Radical Religion in Early America</t>
  </si>
  <si>
    <t>Fogleman, Aaron Spencer</t>
  </si>
  <si>
    <t>Moravian Church in America -- History -- 18th century. ; Moravian Church in America -- Relations -- Lutheran Church. ; Moravian Church in America -- Relations -- Reformed Church. ; Moravian Church in America -- Doctrines -- History -- 18th century. ; Lutheran Church -- Relations -- Moravian Church in America. ; Reformed Church -- Relations -- Moravian Church in America. ; Sex -- Religious aspects -- Moravian Church in America -- History of doctrines -- 18th century.</t>
  </si>
  <si>
    <t>https://ebookcentral.proquest.com/lib/viva-active/detail.action?docID=3442442</t>
  </si>
  <si>
    <t>Literacy, Sexuality, Pedagogy : Theory and Practice for Composition Studies</t>
  </si>
  <si>
    <t>Utah State University Press</t>
  </si>
  <si>
    <t>Alexander, Jonathan</t>
  </si>
  <si>
    <t>Authorship -- Study and teaching (Higher) -- Social aspects. ; English language -- Rhetoric -- Study and teaching -- Social aspects. ; Gender identity. ; Sex.</t>
  </si>
  <si>
    <t>https://ebookcentral.proquest.com/lib/viva-active/detail.action?docID=3442672</t>
  </si>
  <si>
    <t>Unsettling Assumptions : Tradition, Gender, Drag</t>
  </si>
  <si>
    <t>Greenhill, Pauline;Tye, Diane</t>
  </si>
  <si>
    <t>Gender identity. ; Sex role. ; Gender expression. ; Queer theory. ; Manners and customs. ; Folklore.</t>
  </si>
  <si>
    <t>https://ebookcentral.proquest.com/lib/viva-active/detail.action?docID=3442931</t>
  </si>
  <si>
    <t>With Her Machete in Her Hand : Reading Chicana Lesbians</t>
  </si>
  <si>
    <t>University of Texas Press</t>
  </si>
  <si>
    <t>Esquibel, Catrina Rueda</t>
  </si>
  <si>
    <t>Lesbians'' writings, American -- History and criticism. ; American literature -- Mexican American authors -- History and criticism. ; American literature -- Women authors -- History and criticism. ; Mexican American lesbians -- Intellectual life. ; Mexican American women -- Intellectual life. ; Women and literature -- United States. ; Mexican American women in literature.</t>
  </si>
  <si>
    <t>https://ebookcentral.proquest.com/lib/viva-active/detail.action?docID=3443037</t>
  </si>
  <si>
    <t>Decolonizing the Sodomite : Queer Tropes of Sexuality in Colonial Andean Culture</t>
  </si>
  <si>
    <t>Horswell, Michael J.</t>
  </si>
  <si>
    <t>Male homosexuality -- Andes Region -- History. ; Male homosexuality -- Spain -- History. ; Sex customs -- Andes Region -- History. ; Sex customs -- Spain -- History. ; Indians of South America -- Sexual behavior -- Andes Region. ; Indians of South America -- Colonization -- Andes Region. ; Incas -- Sexual behavior.</t>
  </si>
  <si>
    <t>https://ebookcentral.proquest.com/lib/viva-active/detail.action?docID=3443051</t>
  </si>
  <si>
    <t>Queer Issues in Contemporary Latin American Cinema</t>
  </si>
  <si>
    <t>Foster, David William</t>
  </si>
  <si>
    <t>Homosexuality in motion pictures. ; Motion pictures -- Latin America.</t>
  </si>
  <si>
    <t>https://ebookcentral.proquest.com/lib/viva-active/detail.action?docID=3443082</t>
  </si>
  <si>
    <t>Butterflies Will Burn : Prosecuting Sodomites in Early Modern Spain and Mexico</t>
  </si>
  <si>
    <t>Garza Carvajal, Federico</t>
  </si>
  <si>
    <t>Men -- Spain -- Andalusia -- History. ; Masculinity -- Mexico -- History. ; Trials (Sodomy) -- Spain -- Andalusia -- History. ; Trials (Sodomy) -- Mexico -- History. ; Sex role.</t>
  </si>
  <si>
    <t>https://ebookcentral.proquest.com/lib/viva-active/detail.action?docID=3443103</t>
  </si>
  <si>
    <t>Shakin' Up Race and Gender : Intercultural Connections in Puerto Rican, African American, and Chicano Narratives and Culture (1965-1995)</t>
  </si>
  <si>
    <t>Sánchez, Marta E.</t>
  </si>
  <si>
    <t>American literature -- Minority authors -- History and criticism. ; American literature -- 20th century -- History and criticism. ; Puerto Ricans -- United States -- Intellectual life. ; Narration (Rhetoric) -- History -- 20th century. ; African Americans -- Intellectual life. ; Mexican Americans -- Intellectual life. ; African Americans in literature.</t>
  </si>
  <si>
    <t>https://ebookcentral.proquest.com/lib/viva-active/detail.action?docID=3443228</t>
  </si>
  <si>
    <t>Cinemachismo : Masculinities and Sexuality in Mexican Film</t>
  </si>
  <si>
    <t>de la Mora, Sergio</t>
  </si>
  <si>
    <t>Motion pictures -- Mexico. ; Men in motion pictures. ; Masculinity in motion pictures.</t>
  </si>
  <si>
    <t>https://ebookcentral.proquest.com/lib/viva-active/detail.action?docID=3443246</t>
  </si>
  <si>
    <t>Sex Work and the City : The Social Geography of Health and Safety in Tijuana, Mexico</t>
  </si>
  <si>
    <t>Katsulis, Yasmina</t>
  </si>
  <si>
    <t>Prostitution -- Mexico -- Tijuana (Baja California) ; Prostitutes -- Mexico -- Tijuana (Baja California)</t>
  </si>
  <si>
    <t>https://ebookcentral.proquest.com/lib/viva-active/detail.action?docID=3443392</t>
  </si>
  <si>
    <t>Postnationalism in Chicana/o Literature and Culture</t>
  </si>
  <si>
    <t>Hernández, Ellie D.</t>
  </si>
  <si>
    <t>American literature -- Mexican American authors -- History and criticism. ; Politics and literature -- United States. ; Mexican Americans -- Ethnic identity. ; Nationalism and literature -- United States. ; Group identity -- United States. ; Homosexuality and literature -- United States. ; Mexican American gays -- Intellectual life.</t>
  </si>
  <si>
    <t>https://ebookcentral.proquest.com/lib/viva-active/detail.action?docID=3443410</t>
  </si>
  <si>
    <t>Manhood in Hollywood from Bush to Bush</t>
  </si>
  <si>
    <t>Masculinity in motion pictures. ; Men in motion pictures. ; Motion pictures -- United States -- History -- 20th century. ; Motion pictures -- United States -- History -- 21st century.</t>
  </si>
  <si>
    <t>https://ebookcentral.proquest.com/lib/viva-active/detail.action?docID=3443444</t>
  </si>
  <si>
    <t>Reading Chican@ Like a Queer : The De-Mastery of Desire</t>
  </si>
  <si>
    <t>Soto, Sandra K.</t>
  </si>
  <si>
    <t>American literature -- Mexican American authors -- History and criticism. ; Desire in literature. ; Sex in literature. ; Race in literature. ; Mexican Americans in literature. ; Mexican Americans -- Race identity.</t>
  </si>
  <si>
    <t>https://ebookcentral.proquest.com/lib/viva-active/detail.action?docID=3443462</t>
  </si>
  <si>
    <t>Performing Mexicanidad : Vendidas y Cabareteras on the Transnational Stage</t>
  </si>
  <si>
    <t>Gutiérrez, Laura G.</t>
  </si>
  <si>
    <t>Fine Arts; Social Science; Literature</t>
  </si>
  <si>
    <t>Sex in the performing arts -- Mexico. ; Lesbians in the performing arts -- Mexico. ; Music-halls (Variety-theaters, cabarets, etc.) -- Social aspects -- Mexico. ; Women entertainers -- Mexico. ; Women performance artists -- Mexico.</t>
  </si>
  <si>
    <t>https://ebookcentral.proquest.com/lib/viva-active/detail.action?docID=3443491</t>
  </si>
  <si>
    <t>Naked Truth : Strip Clubs, Democracy, and a Christian Right</t>
  </si>
  <si>
    <t>Hanna, Judith Lynne</t>
  </si>
  <si>
    <t>Striptease -- United States. ; Striptease -- Social aspects -- United States. ; Stripteasers -- United States. ; Sex in dance -- United States. ; Christianity and politics -- United States. ; Dance -- Political aspects.</t>
  </si>
  <si>
    <t>https://ebookcentral.proquest.com/lib/viva-active/detail.action?docID=3443587</t>
  </si>
  <si>
    <t>Dangerous Gifts : Gender and Exchange in Ancient Greece</t>
  </si>
  <si>
    <t>Lyons, Deborah</t>
  </si>
  <si>
    <t>Gifts -- Greece -- History. ; Ceremonial exchange -- Greece -- History. ; Barter -- Greece -- History. ; Sex role -- Greece. ; Greece -- Social life and customs.</t>
  </si>
  <si>
    <t>https://ebookcentral.proquest.com/lib/viva-active/detail.action?docID=3443591</t>
  </si>
  <si>
    <t>Desert Passions : Orientalism and Romance Novels</t>
  </si>
  <si>
    <t>Teo, Hsu-Ming</t>
  </si>
  <si>
    <t>Orientalism in literature. ; Love stories -- History and criticism. ; Women in literature. ; East and West in literature. ; Orient -- In literature.</t>
  </si>
  <si>
    <t>https://ebookcentral.proquest.com/lib/viva-active/detail.action?docID=3443624</t>
  </si>
  <si>
    <t>Psycho-Sexual : Male Desire in Hitchcock, De Palma, Scorsese, and Friedkin</t>
  </si>
  <si>
    <t>De Palma, Brian -- Criticism and interpretation. ; Friedkin, William -- Criticism and interpretation. ; Hitchcock, Alfred, -- 1899-1980 -- Criticism and interpretation. ; Hitchcock, Alfred, -- 1899-1980 -- Influence. ; Scorsese, Martin -- Criticism and interpretation. ; Homosexuality in motion pictures. ; Masculinity in motion pictures.</t>
  </si>
  <si>
    <t>https://ebookcentral.proquest.com/lib/viva-active/detail.action?docID=3443627</t>
  </si>
  <si>
    <t>All-American Boy</t>
  </si>
  <si>
    <t>Discovering America</t>
  </si>
  <si>
    <t>Ziff, Larzer</t>
  </si>
  <si>
    <t>American literature -- History and criticism. ; Boys in literature.</t>
  </si>
  <si>
    <t>https://ebookcentral.proquest.com/lib/viva-active/detail.action?docID=3443643</t>
  </si>
  <si>
    <t>Queer Bergman : Sexuality, Gender, and the European Art Cinema</t>
  </si>
  <si>
    <t>Humphrey, Daniel</t>
  </si>
  <si>
    <t>Bergman, Ingmar, -- 1918-2007 -- Criticism and interpretation. ; Homosexuality and motion pictures. ; Homosexuality in motion pictures.</t>
  </si>
  <si>
    <t>https://ebookcentral.proquest.com/lib/viva-active/detail.action?docID=3443659</t>
  </si>
  <si>
    <t>Of Beasts and Beauty : Gender, Race, and Identity in Colombia</t>
  </si>
  <si>
    <t>Stanfield, Michael Edward</t>
  </si>
  <si>
    <t>Feminine beauty (Aesthetics) -- Colombia -- History. ; Beauty contests -- Colombia -- History. ; Women -- Colombia -- History. ; Nationalism -- Colombia -- History. ; Colombia -- History -- 1810- ; Colombia -- Social conditions. ; Colombia -- Politics and government.</t>
  </si>
  <si>
    <t>https://ebookcentral.proquest.com/lib/viva-active/detail.action?docID=3443677</t>
  </si>
  <si>
    <t>John Wayne’s World : Transnational Masculinity in the Fifties</t>
  </si>
  <si>
    <t>Meeuf, Russell</t>
  </si>
  <si>
    <t>Wayne, John, -- 1907-1979. ; Motion picture industry -- United States -- History -- 20th century. ; Masculinity in motion pictures. ; Motion pictures and globalization. ; Nineteen fifties.</t>
  </si>
  <si>
    <t>https://ebookcentral.proquest.com/lib/viva-active/detail.action?docID=3443682</t>
  </si>
  <si>
    <t>Queer Brown Voices : Personal Narratives of Latina/o LGBT Activism</t>
  </si>
  <si>
    <t>Quesada, Uriel;Gomez, Letitia;Vidal-Ortiz, Salvador</t>
  </si>
  <si>
    <t>Hispanic American sexual minorities -- Political activity -- United States. ; Gay activists -- United States. ; Sexual minorities -- Identity.</t>
  </si>
  <si>
    <t>https://ebookcentral.proquest.com/lib/viva-active/detail.action?docID=3443768</t>
  </si>
  <si>
    <t>Nurturing Masculinities : Men, Food, and Family in Contemporary Egypt</t>
  </si>
  <si>
    <t>Naguib, Nefissa</t>
  </si>
  <si>
    <t>Food habits -- Egypt. ; Masculinity -- Egypt. ; Sex role -- Egypt. ; Egyptians -- Food. ; Food -- Social aspects -- Egypt.</t>
  </si>
  <si>
    <t>https://ebookcentral.proquest.com/lib/viva-active/detail.action?docID=3443798</t>
  </si>
  <si>
    <t>Sex and the Citizen : Interrogating the Caribbean</t>
  </si>
  <si>
    <t>New World Studies</t>
  </si>
  <si>
    <t>Smith, Faith L.</t>
  </si>
  <si>
    <t>Gender identity - Caribbean Area</t>
  </si>
  <si>
    <t>https://ebookcentral.proquest.com/lib/viva-active/detail.action?docID=3443963</t>
  </si>
  <si>
    <t>Cotton's Queer Relations : Same-Sex Intimacy and the Literature of the Southern Plantation, 1936-1968</t>
  </si>
  <si>
    <t>Bibler, Michael P.</t>
  </si>
  <si>
    <t>Plantation life in literature</t>
  </si>
  <si>
    <t>https://ebookcentral.proquest.com/lib/viva-active/detail.action?docID=3443992</t>
  </si>
  <si>
    <t>Brothers Born of One Mother : British–Native American Relations in the Colonial Southeast</t>
  </si>
  <si>
    <t>Early American Histories</t>
  </si>
  <si>
    <t>LeMaster, Michelle</t>
  </si>
  <si>
    <t>Femininity - Southern States - History</t>
  </si>
  <si>
    <t>https://ebookcentral.proquest.com/lib/viva-active/detail.action?docID=3444038</t>
  </si>
  <si>
    <t>Scarecrows of Chivalry : English Masculinities after Empire</t>
  </si>
  <si>
    <t>Gopinath, Praseeda</t>
  </si>
  <si>
    <t>Chivalry in literature</t>
  </si>
  <si>
    <t>https://ebookcentral.proquest.com/lib/viva-active/detail.action?docID=3444116</t>
  </si>
  <si>
    <t>The Cross-Dressed Caribbean : Writing, Politics, Sexualities</t>
  </si>
  <si>
    <t>Fumagalli, Maria Cristina;Ledent, Bénédicte;del Valle Alcalá, Roberto</t>
  </si>
  <si>
    <t>Caribbean literature - History and criticism</t>
  </si>
  <si>
    <t>https://ebookcentral.proquest.com/lib/viva-active/detail.action?docID=3444157</t>
  </si>
  <si>
    <t>Ironies of Freedom : Sex, Culture, and Neoliberal Governance in Vietnam</t>
  </si>
  <si>
    <t>University of Washington Press</t>
  </si>
  <si>
    <t>Critical Dialogues in Southeast Asian Studies</t>
  </si>
  <si>
    <t>Nguyen-Vo, Thu-Huong</t>
  </si>
  <si>
    <t>Prostitution -- Vietnam. ; Prostitution -- Government policy -- Vietnam.</t>
  </si>
  <si>
    <t>https://ebookcentral.proquest.com/lib/viva-active/detail.action?docID=3444230</t>
  </si>
  <si>
    <t>Little Everyman : Stature and Masculinity in Eighteenth-Century English Literature</t>
  </si>
  <si>
    <t>Literary Conjugations Ser.</t>
  </si>
  <si>
    <t>Armintor, Deborah Needleman</t>
  </si>
  <si>
    <t>Short men - England</t>
  </si>
  <si>
    <t>https://ebookcentral.proquest.com/lib/viva-active/detail.action?docID=3444377</t>
  </si>
  <si>
    <t>Missing the Breast : Gender, Fantasy, and the Body in the German Enlightenment</t>
  </si>
  <si>
    <t>Richter, Simon</t>
  </si>
  <si>
    <t>German literature -- 18th century -- History and criticism. ; Breast in literature.</t>
  </si>
  <si>
    <t>https://ebookcentral.proquest.com/lib/viva-active/detail.action?docID=3444477</t>
  </si>
  <si>
    <t>Calling in the Soul : Gender and the Cycle of Life in a Hmong Village</t>
  </si>
  <si>
    <t xml:space="preserve">Symonds, Patricia V.;Symonds, Patricia V. </t>
  </si>
  <si>
    <t>Hmong (Asian people) -- Thailand, Northern -- Rites and ceremonies. ; Women, Hmong -- Thailand, Northern -- Social conditions. ; Sex role -- Thailand, Northern. ; Sexual division of labor -- Thailand, Northern. ; Patrilineal kinship -- Thailand, Northern. ; Hmong Americans -- Social life and customs. ; Thailand, Northern -- Social life and customs.</t>
  </si>
  <si>
    <t>https://ebookcentral.proquest.com/lib/viva-active/detail.action?docID=3444653</t>
  </si>
  <si>
    <t>1001 Beds : Performances, Essays, and Travels</t>
  </si>
  <si>
    <t>University of Wisconsin Press</t>
  </si>
  <si>
    <t>Living Out: Gay and Lesbian Autobiog Ser.</t>
  </si>
  <si>
    <t>Miller, Tim;Johnson, Glen</t>
  </si>
  <si>
    <t>Miller, Tim, -- 1958- ; Gay men -- United States -- Biography. ; Performance artists -- United States -- Biography.</t>
  </si>
  <si>
    <t>https://ebookcentral.proquest.com/lib/viva-active/detail.action?docID=3444700</t>
  </si>
  <si>
    <t>Butterfly Boy : Memories of a Chicano Mariposa</t>
  </si>
  <si>
    <t>Writing in Latinidad: Autobiographical Voices of U. S. Latinos/as Ser.</t>
  </si>
  <si>
    <t>Gonza´lez, Rigoberto</t>
  </si>
  <si>
    <t>González, Rigoberto. ; Authors, American -- 20th century -- Biography. ; Hispanic American gays -- Biography.</t>
  </si>
  <si>
    <t>https://ebookcentral.proquest.com/lib/viva-active/detail.action?docID=3444707</t>
  </si>
  <si>
    <t>The Man Who Would Marry Susan Sontag : And Other Intimate Literary Portraits of the Bohemian Era</t>
  </si>
  <si>
    <t>Field, Edward</t>
  </si>
  <si>
    <t>Field, Edward - Friends and associates</t>
  </si>
  <si>
    <t>https://ebookcentral.proquest.com/lib/viva-active/detail.action?docID=3444708</t>
  </si>
  <si>
    <t>Engaging Modernity : Muslim Women and the Politics of Agency in Postcolonial Niger</t>
  </si>
  <si>
    <t>Women in Africa and the Diaspora Ser.</t>
  </si>
  <si>
    <t>Alidou, Ousseina D.</t>
  </si>
  <si>
    <t>Women - Political activity - Niger</t>
  </si>
  <si>
    <t>https://ebookcentral.proquest.com/lib/viva-active/detail.action?docID=3444762</t>
  </si>
  <si>
    <t>Writing Desire : Sixty Years of Gay Autobiography</t>
  </si>
  <si>
    <t>Wisconsin Studies in Autobiography Ser.</t>
  </si>
  <si>
    <t xml:space="preserve">Cohler, Bertram J.;Andrews, William L. </t>
  </si>
  <si>
    <t>Autobiography. ; Gays -- Biography -- History and criticism. ; Gays'' writings -- History and criticism.</t>
  </si>
  <si>
    <t>https://ebookcentral.proquest.com/lib/viva-active/detail.action?docID=3444821</t>
  </si>
  <si>
    <t>The Bohemian Body : Gender and Sexuality in Modern Czech Culture</t>
  </si>
  <si>
    <t>Thomas, Alfred</t>
  </si>
  <si>
    <t>Motion pictures - Czech Republic - History</t>
  </si>
  <si>
    <t>https://ebookcentral.proquest.com/lib/viva-active/detail.action?docID=3444824</t>
  </si>
  <si>
    <t>My Diva : 65 Gay Men on the Women Who Inspire Them</t>
  </si>
  <si>
    <t>Montlack, Michael</t>
  </si>
  <si>
    <t>Gay men -- Identity. ; Gay men -- Relations with heterosexual women. ; Gay men -- Biography. ; Gay men -- Anecdotes.</t>
  </si>
  <si>
    <t>https://ebookcentral.proquest.com/lib/viva-active/detail.action?docID=3444869</t>
  </si>
  <si>
    <t>Sex and Isolation : And Other Essays</t>
  </si>
  <si>
    <t>Benderson, Bruce;Texier, Catherine</t>
  </si>
  <si>
    <t>Benderson, Bruce -- Anecdotes. ; Gay men -- Sexual behavior -- Anecdotes. ; Gay culture -- United States -- Anecdotes. ; Alienation (Social psychology) -- United States -- Anecdotes.</t>
  </si>
  <si>
    <t>https://ebookcentral.proquest.com/lib/viva-active/detail.action?docID=3444969</t>
  </si>
  <si>
    <t>Creating the College Man : American Mass Magazines and Middle-Class Manhood, 1890-1915</t>
  </si>
  <si>
    <t>Studies in American Thought and Culture Ser.</t>
  </si>
  <si>
    <t xml:space="preserve">Clark, Daniel A.;Boyer, Paul S. </t>
  </si>
  <si>
    <t>Middle class men -- Press coverage -- United States -- History. ; Male college students -- Press coverage -- United States -- History. ; Education, Higher -- United States -- Sociological aspects -- History.</t>
  </si>
  <si>
    <t>https://ebookcentral.proquest.com/lib/viva-active/detail.action?docID=3444991</t>
  </si>
  <si>
    <t>Madre and I : A Memoir of Our Immigrant Lives</t>
  </si>
  <si>
    <t xml:space="preserve">Reyes, Guillermo A.;Chavez-Silverman, Susana ;Allatson, Paul ;Spitta, Silvia D. ;Campo, Rafael </t>
  </si>
  <si>
    <t>Reyes, Guillermo A. ; Hispanic American gays -- Biography. ; Immigrants -- United States -- Biography.</t>
  </si>
  <si>
    <t>https://ebookcentral.proquest.com/lib/viva-active/detail.action?docID=3444994</t>
  </si>
  <si>
    <t>Spirit, Structure, and Flesh : Gendered Experiences in African Instituted Churches among the Yoruba of Nigeria</t>
  </si>
  <si>
    <t>Africa and the Diaspora: History, Politics, Culture Ser.</t>
  </si>
  <si>
    <t xml:space="preserve">Crumbley, Deidre Helen;Spear, Thomas ;Schatzberg, Michael G. </t>
  </si>
  <si>
    <t>Yoruba - Rites and ceremonies</t>
  </si>
  <si>
    <t>https://ebookcentral.proquest.com/lib/viva-active/detail.action?docID=3444995</t>
  </si>
  <si>
    <t>Sex Talks to Girls : A Memoir</t>
  </si>
  <si>
    <t>Seaton, Maureen</t>
  </si>
  <si>
    <t>Lesbian authors</t>
  </si>
  <si>
    <t>https://ebookcentral.proquest.com/lib/viva-active/detail.action?docID=3445038</t>
  </si>
  <si>
    <t>Gay Bar : The Fabulous, True Story of a Daring Woman and Her Boys in the 1950s</t>
  </si>
  <si>
    <t>Fellows, Will;Branson, Helen P.;Baker, Blanche M.</t>
  </si>
  <si>
    <t>Gay men - California - Los Angeles - Social conditions - 20th century</t>
  </si>
  <si>
    <t>https://ebookcentral.proquest.com/lib/viva-active/detail.action?docID=3445065</t>
  </si>
  <si>
    <t>Cannibal Fictions : American Explorations of Colonialism, Race, Gender and Sexuality</t>
  </si>
  <si>
    <t>A Ray and Pat Browne Book Ser.</t>
  </si>
  <si>
    <t>Berglund, Jeff</t>
  </si>
  <si>
    <t>Cannibalism in literature</t>
  </si>
  <si>
    <t>https://ebookcentral.proquest.com/lib/viva-active/detail.action?docID=3445099</t>
  </si>
  <si>
    <t>Greek Prostitutes in the Ancient Mediterranean, 800 BCE-200 CE</t>
  </si>
  <si>
    <t>Wisconsin Studies in Classics Ser.</t>
  </si>
  <si>
    <t>Glazebrook, Allison;Henry, Madeleine M.</t>
  </si>
  <si>
    <t>Prostitutes - Rome - History</t>
  </si>
  <si>
    <t>https://ebookcentral.proquest.com/lib/viva-active/detail.action?docID=3445139</t>
  </si>
  <si>
    <t>The Last Deployment : How a Gay, Hammer-Swinging Twentysomething Survived a Year in Iraq</t>
  </si>
  <si>
    <t>Lemer, Bronson</t>
  </si>
  <si>
    <t>Gay military personnel - United States</t>
  </si>
  <si>
    <t>https://ebookcentral.proquest.com/lib/viva-active/detail.action?docID=3445158</t>
  </si>
  <si>
    <t>Celluloid Activist : The Life and Legacy of Vito Russo</t>
  </si>
  <si>
    <t>Schiavi, Michael R.</t>
  </si>
  <si>
    <t>Homosexuality in motion pictures - History - 20th century</t>
  </si>
  <si>
    <t>https://ebookcentral.proquest.com/lib/viva-active/detail.action?docID=3445168</t>
  </si>
  <si>
    <t>The Enemy of the New Man : Homosexuality in Fascist Italy</t>
  </si>
  <si>
    <t>George L. Mosse Series in the History of European Culture, Sexuality, and Ideas Ser.</t>
  </si>
  <si>
    <t>Benadusi, Lorenzo;Dingee, Suzanne;Pudney, Jennifer</t>
  </si>
  <si>
    <t>Fascism -- Italy -- History. ; Masculinity -- Italy -- History -- 20th century. ; Gay men -- Italy -- History -- 20th century. ; Fascism and sex -- Italy. ; Italy -- History -- 1922-1945.</t>
  </si>
  <si>
    <t>https://ebookcentral.proquest.com/lib/viva-active/detail.action?docID=3445216</t>
  </si>
  <si>
    <t>Through the Door of Life : A Jewish Journey Between Genders</t>
  </si>
  <si>
    <t>Ladin, Joy</t>
  </si>
  <si>
    <t>Ladin, Joy, -- 1961- ; Jewish transgender people -- United States -- Biography.</t>
  </si>
  <si>
    <t>https://ebookcentral.proquest.com/lib/viva-active/detail.action?docID=3445231</t>
  </si>
  <si>
    <t>Chicago Whispers : A History of LGBT Chicago Before Stonewall</t>
  </si>
  <si>
    <t>De la Croix, St Sukie;D'Emilio, John</t>
  </si>
  <si>
    <t>Transgenderism - Illinois - Chicago - History</t>
  </si>
  <si>
    <t>https://ebookcentral.proquest.com/lib/viva-active/detail.action?docID=3445249</t>
  </si>
  <si>
    <t>Autobiography of My Hungers</t>
  </si>
  <si>
    <t xml:space="preserve">González, Rigoberto;Gonzalez, Rigoberto </t>
  </si>
  <si>
    <t>Mexican American gays</t>
  </si>
  <si>
    <t>https://ebookcentral.proquest.com/lib/viva-active/detail.action?docID=3445313</t>
  </si>
  <si>
    <t>A Heaven of Words : Last Journals, 1956-1984</t>
  </si>
  <si>
    <t>Wescott, Glenway;Rosco, Jerry</t>
  </si>
  <si>
    <t>Wescott, Glenway</t>
  </si>
  <si>
    <t>https://ebookcentral.proquest.com/lib/viva-active/detail.action?docID=3445341</t>
  </si>
  <si>
    <t>Lawfully Wedded Husband : How My Gay Marriage Will Save the American Family</t>
  </si>
  <si>
    <t>Derfner, Joel</t>
  </si>
  <si>
    <t>https://ebookcentral.proquest.com/lib/viva-active/detail.action?docID=3445347</t>
  </si>
  <si>
    <t>Our Deep Gossip : Conversations with Gay Writers on Poetry and Desire</t>
  </si>
  <si>
    <t>Hennessy, Christopher;Bram, Christopher</t>
  </si>
  <si>
    <t>Howard, Richard</t>
  </si>
  <si>
    <t>https://ebookcentral.proquest.com/lib/viva-active/detail.action?docID=3445356</t>
  </si>
  <si>
    <t>Confronting History : A Memoir</t>
  </si>
  <si>
    <t>Mosse, George L.;Laqueur, Walter</t>
  </si>
  <si>
    <t>Geography/Travel; History</t>
  </si>
  <si>
    <t>Mosse, George L</t>
  </si>
  <si>
    <t>https://ebookcentral.proquest.com/lib/viva-active/detail.action?docID=3445366</t>
  </si>
  <si>
    <t>The Perils of Normalcy : George L. Mosse and the Remaking of Cultural History</t>
  </si>
  <si>
    <t>Plessini, Karel</t>
  </si>
  <si>
    <t>https://ebookcentral.proquest.com/lib/viva-active/detail.action?docID=3445382</t>
  </si>
  <si>
    <t>In a New Century : Essays on Queer History, Politics, and Community Life</t>
  </si>
  <si>
    <t>D'Emilio, John</t>
  </si>
  <si>
    <t>Gay activists - United States - History</t>
  </si>
  <si>
    <t>https://ebookcentral.proquest.com/lib/viva-active/detail.action?docID=3445393</t>
  </si>
  <si>
    <t>States of Desire Revisited : Travels in Gay America</t>
  </si>
  <si>
    <t>White, Edmund</t>
  </si>
  <si>
    <t>Gay men - United States</t>
  </si>
  <si>
    <t>https://ebookcentral.proquest.com/lib/viva-active/detail.action?docID=3445420</t>
  </si>
  <si>
    <t>The Health of Lesbian, Gay, Bisexual, and Transgender People : Building a Foundation for Better Understanding</t>
  </si>
  <si>
    <t>Institute of Medicine;Board on the Health of Select Populations;Committee on Lesbian, Gay, Bisexual, and Transgender Health Issues and Research Gaps and Opportunities;Board on the Health of Select Populations Staff</t>
  </si>
  <si>
    <t>Gays--Medical care--United States.</t>
  </si>
  <si>
    <t>https://ebookcentral.proquest.com/lib/viva-active/detail.action?docID=3564220</t>
  </si>
  <si>
    <t>Testing for Athlete Citizenship : Regulating Doping and Sex in Sport</t>
  </si>
  <si>
    <t>Critical Issues in Sport and Society Ser.</t>
  </si>
  <si>
    <t>Henne, Kathryn E.</t>
  </si>
  <si>
    <t>Health; Medicine; Social Science</t>
  </si>
  <si>
    <t>Athletes - Sexual behavior</t>
  </si>
  <si>
    <t>https://ebookcentral.proquest.com/lib/viva-active/detail.action?docID=3565205</t>
  </si>
  <si>
    <t>Butch Queens up in Pumps : Gender, Performance, and Ballroom Culture in Detroit</t>
  </si>
  <si>
    <t>Bailey, Marlon M.</t>
  </si>
  <si>
    <t>Sexual minorities - Michigan - Detroit</t>
  </si>
  <si>
    <t>https://ebookcentral.proquest.com/lib/viva-active/detail.action?docID=3570493</t>
  </si>
  <si>
    <t>The Changing Face of Representation : The Gender of U. S. Senators and Constituent Communications</t>
  </si>
  <si>
    <t>Fridkin, Kim;Kenney, Patrick</t>
  </si>
  <si>
    <t>Sex role - Political aspects - United States</t>
  </si>
  <si>
    <t>https://ebookcentral.proquest.com/lib/viva-active/detail.action?docID=3570541</t>
  </si>
  <si>
    <t>Gender Play in Mark Twain : Cross-Dressing and Transgression</t>
  </si>
  <si>
    <t>Morris, Linda A.</t>
  </si>
  <si>
    <t>Sex role in literature.</t>
  </si>
  <si>
    <t>https://ebookcentral.proquest.com/lib/viva-active/detail.action?docID=3570980</t>
  </si>
  <si>
    <t>Censorship and Sexuality in Bombay Cinema</t>
  </si>
  <si>
    <t>Mehta, Monika</t>
  </si>
  <si>
    <t>Motion pictures--Censorship--India--Bombay.</t>
  </si>
  <si>
    <t>https://ebookcentral.proquest.com/lib/viva-active/detail.action?docID=3571768</t>
  </si>
  <si>
    <t>Argentine, Mexican, and Guatemalan Photography : Feminist, Queer, and Post-Masculinist Perspectives</t>
  </si>
  <si>
    <t>Photography -- Latin America. ; Photography, Artistic. ; Portrait photography -- Latin America. ; Gender identity -- Latin America. ; Gender identity in art.</t>
  </si>
  <si>
    <t>https://ebookcentral.proquest.com/lib/viva-active/detail.action?docID=3571784</t>
  </si>
  <si>
    <t>Queer Beirut</t>
  </si>
  <si>
    <t>Merabet, Sofian</t>
  </si>
  <si>
    <t>Gay men -- Lebanon -- Beirut. ; Gender identity -- Lebanon -- Beirut. ; Homosexuality -- Lebanon -- Beirut.</t>
  </si>
  <si>
    <t>https://ebookcentral.proquest.com/lib/viva-active/detail.action?docID=3571786</t>
  </si>
  <si>
    <t>What Makes a Man? : Sex Talk in Beirut and Berlin</t>
  </si>
  <si>
    <t>CMES Modern Middle East Literatures in Translation</t>
  </si>
  <si>
    <t>al-Daif, Rashid;Helfer, Joachim;Seigneurie, Ken</t>
  </si>
  <si>
    <t>Helfer, Joachim, -- 1964- ; Homosexuality in literature.</t>
  </si>
  <si>
    <t>https://ebookcentral.proquest.com/lib/viva-active/detail.action?docID=3571849</t>
  </si>
  <si>
    <t>Trans/Portraits : Voices from Transgender Communities</t>
  </si>
  <si>
    <t>Dartmouth College Press</t>
  </si>
  <si>
    <t>Shultz, Jackson Wright</t>
  </si>
  <si>
    <t>https://ebookcentral.proquest.com/lib/viva-active/detail.action?docID=4003876</t>
  </si>
  <si>
    <t>Winning Marriage : The Inside Story of How Same-Sex Couples Took on the Politicians and Pundits—and Won</t>
  </si>
  <si>
    <t>Solomon, Marc;Patrick, Deval</t>
  </si>
  <si>
    <t>https://ebookcentral.proquest.com/lib/viva-active/detail.action?docID=4003897</t>
  </si>
  <si>
    <t>Madam Belle : Sex, Money, and Influence in a Southern Brothel</t>
  </si>
  <si>
    <t>University Press of Kentucky</t>
  </si>
  <si>
    <t>Topics in Kentucky History Ser.</t>
  </si>
  <si>
    <t>Wall, Maryjean</t>
  </si>
  <si>
    <t>https://ebookcentral.proquest.com/lib/viva-active/detail.action?docID=4005109</t>
  </si>
  <si>
    <t>Women and Images of Men in Cinema : Gender Construction in la Belle et la Bete by Jean Cocteau</t>
  </si>
  <si>
    <t>Hamburger, Andreas</t>
  </si>
  <si>
    <t>Psychology; Fine Arts</t>
  </si>
  <si>
    <t>Psychoanalysis and motion pictures.</t>
  </si>
  <si>
    <t>https://ebookcentral.proquest.com/lib/viva-active/detail.action?docID=4006517</t>
  </si>
  <si>
    <t>Managing Prostate Cancer : A Guide for Living Better</t>
  </si>
  <si>
    <t>Roth, Andrew J.</t>
  </si>
  <si>
    <t>Men - Health and hygiene - United States</t>
  </si>
  <si>
    <t>https://ebookcentral.proquest.com/lib/viva-active/detail.action?docID=4083475</t>
  </si>
  <si>
    <t>Globalization’s Impact on Cultural Identity Formation : Queer Diasporic Males in Cyberspace</t>
  </si>
  <si>
    <t>Studies in New Media</t>
  </si>
  <si>
    <t>Atay, Ahmet</t>
  </si>
  <si>
    <t>Online-Community</t>
  </si>
  <si>
    <t>https://ebookcentral.proquest.com/lib/viva-active/detail.action?docID=4085715</t>
  </si>
  <si>
    <t>Same-Sex Marriage, Context, and Lesbian Identity : Wedded but Not Always a Wife</t>
  </si>
  <si>
    <t>Whitlow, Julie;Ould, Patricia</t>
  </si>
  <si>
    <t>https://ebookcentral.proquest.com/lib/viva-active/detail.action?docID=4086507</t>
  </si>
  <si>
    <t>Lesbians, Gays, and Bisexuals Becoming Parents or Remaining Childfree : Confronting Social Inequalities</t>
  </si>
  <si>
    <t>Bergstrom-Lynch, Cara</t>
  </si>
  <si>
    <t>Homophobia - United States</t>
  </si>
  <si>
    <t>https://ebookcentral.proquest.com/lib/viva-active/detail.action?docID=4086529</t>
  </si>
  <si>
    <t>Marching against Gender Practice : Political Imaginings in the Basqueland</t>
  </si>
  <si>
    <t>Linstroth, J. P.</t>
  </si>
  <si>
    <t>Guipauzcoa (Spain) - Social conditions</t>
  </si>
  <si>
    <t>https://ebookcentral.proquest.com/lib/viva-active/detail.action?docID=4086552</t>
  </si>
  <si>
    <t>Sex Radical Cinema</t>
  </si>
  <si>
    <t>Siegel, Carol</t>
  </si>
  <si>
    <t>Motion pictures - United States - History and criticism</t>
  </si>
  <si>
    <t>https://ebookcentral.proquest.com/lib/viva-active/detail.action?docID=4087726</t>
  </si>
  <si>
    <t>Striking Their Modern Pose : Fashion, Gender, and Modernity in Galdós, Pardo Bazán, and Picón</t>
  </si>
  <si>
    <t>Purdue Studies in Romance Literatures</t>
  </si>
  <si>
    <t>Heneghan, Dorota</t>
  </si>
  <si>
    <t>Picaon, Jacinto Octavio - Criticism and interpretation</t>
  </si>
  <si>
    <t>https://ebookcentral.proquest.com/lib/viva-active/detail.action?docID=4098370</t>
  </si>
  <si>
    <t>Women, Family, and Class : The Lillian Rubin Reader</t>
  </si>
  <si>
    <t>Classics in Gender Studies</t>
  </si>
  <si>
    <t>Kimmel, Michael S.;Traver, Amy Elizabeth;Traver, Amy Elizabeth;Traver, Amy Elizabeth</t>
  </si>
  <si>
    <t>Families</t>
  </si>
  <si>
    <t>https://ebookcentral.proquest.com/lib/viva-active/detail.action?docID=4185994</t>
  </si>
  <si>
    <t>Thinking Queerly : Race, Sex, Gender, and the Ethics of Identity</t>
  </si>
  <si>
    <t>Cultural Politics and the Promise of Democracy</t>
  </si>
  <si>
    <t>Fryer, David Ross;Wilchins, Riki</t>
  </si>
  <si>
    <t>Identity (Psychology) - Moral and ethical aspects</t>
  </si>
  <si>
    <t>https://ebookcentral.proquest.com/lib/viva-active/detail.action?docID=4186062</t>
  </si>
  <si>
    <t>Hegemonic Masculinities and Camouflaged Politics : Unmasking the Bush Dynasty and Its War Against Iraq</t>
  </si>
  <si>
    <t>Masculinity - Political aspects</t>
  </si>
  <si>
    <t>https://ebookcentral.proquest.com/lib/viva-active/detail.action?docID=4186447</t>
  </si>
  <si>
    <t>The Autonomy of Pleasure : Libertines, License, and Sexual Revolution</t>
  </si>
  <si>
    <t>Steintrager, James</t>
  </si>
  <si>
    <t>France--Moral conditions.</t>
  </si>
  <si>
    <t>https://ebookcentral.proquest.com/lib/viva-active/detail.action?docID=4206313</t>
  </si>
  <si>
    <t>The Emotions of Justice : Gender, Status, and Legal Performance in Choson Korea</t>
  </si>
  <si>
    <t>Korean Studies of the Henry M. Jackson School of International Studies</t>
  </si>
  <si>
    <t>Kim, Jisoo M.</t>
  </si>
  <si>
    <t>Women - Legal status, laws, etc - Korea - History</t>
  </si>
  <si>
    <t>https://ebookcentral.proquest.com/lib/viva-active/detail.action?docID=4305968</t>
  </si>
  <si>
    <t>Spatializing Blackness : Architectures of Confinement and Black Masculinity in Chicago</t>
  </si>
  <si>
    <t>Shabazz, Rashad</t>
  </si>
  <si>
    <t>Spatial behavior - Social aspects - Illinois - Chicago - History - 20th century</t>
  </si>
  <si>
    <t>https://ebookcentral.proquest.com/lib/viva-active/detail.action?docID=4306044</t>
  </si>
  <si>
    <t>When Frankie Went to Hollywood : Frank Sinatra and American Male Identity</t>
  </si>
  <si>
    <t>McNally, Karen</t>
  </si>
  <si>
    <t>Masculinity in motion pictures.</t>
  </si>
  <si>
    <t>https://ebookcentral.proquest.com/lib/viva-active/detail.action?docID=4306066</t>
  </si>
  <si>
    <t>The Domesticated Penis : How Womanhood Has Shaped Manhood</t>
  </si>
  <si>
    <t>Cormier, Loretta A.;Jones, Sharyn R.</t>
  </si>
  <si>
    <t>SOCIAL SCIENCE / Anthropology / Cultural</t>
  </si>
  <si>
    <t>https://ebookcentral.proquest.com/lib/viva-active/detail.action?docID=4312179</t>
  </si>
  <si>
    <t>Volunteering for a Cause : Gender, Faith, and Charity in Mexico from the Reform to the Revolution</t>
  </si>
  <si>
    <t>Arrom, Silvia Marina</t>
  </si>
  <si>
    <t>Women in church work--Catholic Church.</t>
  </si>
  <si>
    <t>https://ebookcentral.proquest.com/lib/viva-active/detail.action?docID=4312684</t>
  </si>
  <si>
    <t>Peripheral Desires : The German Discovery of Sex</t>
  </si>
  <si>
    <t>Tobin, Robert Deam</t>
  </si>
  <si>
    <t>German literature--19th century--History and criticism.</t>
  </si>
  <si>
    <t>https://ebookcentral.proquest.com/lib/viva-active/detail.action?docID=4321850</t>
  </si>
  <si>
    <t>The Manly Priest : Clerical Celibacy, Masculinity, and Reform in England and Normandy, 1066-1300</t>
  </si>
  <si>
    <t>Thibodeaux, Jennifer D.</t>
  </si>
  <si>
    <t>Masculinity--Religious aspects--Christianity--History--To 1500.</t>
  </si>
  <si>
    <t>https://ebookcentral.proquest.com/lib/viva-active/detail.action?docID=4321856</t>
  </si>
  <si>
    <t>Queer Clout : Chicago and the Rise of Gay Politics</t>
  </si>
  <si>
    <t>Politics and Culture in Modern America Ser.</t>
  </si>
  <si>
    <t>Stewart-Winter, Timothy</t>
  </si>
  <si>
    <t>Chicago (Ill.)--Politics and government--20th century.</t>
  </si>
  <si>
    <t>https://ebookcentral.proquest.com/lib/viva-active/detail.action?docID=4321875</t>
  </si>
  <si>
    <t>Sex among the Rabble : An Intimate History of Gender and Power in the Age of Revolution, Philadelphia, 1730-1830</t>
  </si>
  <si>
    <t>Published by the Omohundro Institute of Early American History and Culture and the University of North Carolina Press Ser.</t>
  </si>
  <si>
    <t>Lyons, Clare A.</t>
  </si>
  <si>
    <t>Sex--Pennsylvania--Philadelphia--History.</t>
  </si>
  <si>
    <t>https://ebookcentral.proquest.com/lib/viva-active/detail.action?docID=4321921</t>
  </si>
  <si>
    <t>Engendering Psychology : Women and Gender Revisited</t>
  </si>
  <si>
    <t>Denmark, Florence;Rabinowitz, Vita Carulli;Sechzer, Jeri A.</t>
  </si>
  <si>
    <t>Women--Psychology.</t>
  </si>
  <si>
    <t>https://ebookcentral.proquest.com/lib/viva-active/detail.action?docID=4332759</t>
  </si>
  <si>
    <t>Sex in Prison : Myths and Realities</t>
  </si>
  <si>
    <t>Marcum, Catherine D.;Castle, Tammy L.</t>
  </si>
  <si>
    <t>Prisoners - Social conditions</t>
  </si>
  <si>
    <t>https://ebookcentral.proquest.com/lib/viva-active/detail.action?docID=4352950</t>
  </si>
  <si>
    <t>1000 Erotic Works of Genius</t>
  </si>
  <si>
    <t>The Book</t>
  </si>
  <si>
    <t>Döpp, Hans-Jürgen;Thomas, Joe A.;Charles, Victoria</t>
  </si>
  <si>
    <t>Erotic art--Exhibitions.</t>
  </si>
  <si>
    <t>https://ebookcentral.proquest.com/lib/viva-active/detail.action?docID=4357234</t>
  </si>
  <si>
    <t>Counted Out : Same-Sex Relations and Americans' Definitions of Family</t>
  </si>
  <si>
    <t>Russell Sage Foundation</t>
  </si>
  <si>
    <t>American Sociological Association's Rose Series</t>
  </si>
  <si>
    <t>Powell, Brian;Blozendahl, Catherine;Geist, Claudia;Steelman, Lala Carr</t>
  </si>
  <si>
    <t>Families--United States.</t>
  </si>
  <si>
    <t>https://ebookcentral.proquest.com/lib/viva-active/detail.action?docID=4386935</t>
  </si>
  <si>
    <t>Transgender Rights and Politics : Groups, Issue Framing, and Policy Adoption</t>
  </si>
  <si>
    <t>Taylor, Jami K.;Haider-Markel, Donald P.</t>
  </si>
  <si>
    <t>Transgender people - Legal status, laws, etc</t>
  </si>
  <si>
    <t>https://ebookcentral.proquest.com/lib/viva-active/detail.action?docID=4388358</t>
  </si>
  <si>
    <t>Murder Most Queer : The Homicidal Homosexual in the American Theater</t>
  </si>
  <si>
    <t>Schildcrout, Jordan</t>
  </si>
  <si>
    <t>Homosexuality in the theater - United States</t>
  </si>
  <si>
    <t>https://ebookcentral.proquest.com/lib/viva-active/detail.action?docID=4388364</t>
  </si>
  <si>
    <t>James Baldwin and the Queer Imagination</t>
  </si>
  <si>
    <t>Brim, Matt</t>
  </si>
  <si>
    <t>African American gays - Intellectual life</t>
  </si>
  <si>
    <t>https://ebookcentral.proquest.com/lib/viva-active/detail.action?docID=4388367</t>
  </si>
  <si>
    <t>Measuring Manhood : Race and the Science of Masculinity, 1830–1934</t>
  </si>
  <si>
    <t>Stein, Melissa N.</t>
  </si>
  <si>
    <t>MEDICAL / History</t>
  </si>
  <si>
    <t>https://ebookcentral.proquest.com/lib/viva-active/detail.action?docID=4391785</t>
  </si>
  <si>
    <t>Indifference to Difference : On Queer Universalism</t>
  </si>
  <si>
    <t>Menon, Madhavi</t>
  </si>
  <si>
    <t>Individualism in literature.</t>
  </si>
  <si>
    <t>https://ebookcentral.proquest.com/lib/viva-active/detail.action?docID=4391793</t>
  </si>
  <si>
    <t>Tongzhi Living : Men Attracted to Men in Postsocialist China</t>
  </si>
  <si>
    <t>Heterosexual men - China</t>
  </si>
  <si>
    <t>https://ebookcentral.proquest.com/lib/viva-active/detail.action?docID=4391796</t>
  </si>
  <si>
    <t>Yonfan's Bugis Street</t>
  </si>
  <si>
    <t>Chan, Kenneth</t>
  </si>
  <si>
    <t>Motion pictures--History.</t>
  </si>
  <si>
    <t>https://ebookcentral.proquest.com/lib/viva-active/detail.action?docID=4394038</t>
  </si>
  <si>
    <t>Male and Female in the Epic of Gilgamesh : Encounters, Literary History, and Interpretation</t>
  </si>
  <si>
    <t>Pennsylvania State University Press</t>
  </si>
  <si>
    <t>Abusch, Tzvi</t>
  </si>
  <si>
    <t>Epic poetry, Assyro-Babylonian - History and criticism</t>
  </si>
  <si>
    <t>https://ebookcentral.proquest.com/lib/viva-active/detail.action?docID=4395070</t>
  </si>
  <si>
    <t>Replacing Misandry : A Revolutionary History of Men</t>
  </si>
  <si>
    <t>Nathanson, Paul;Young, Katherine K.</t>
  </si>
  <si>
    <t>Men--History.</t>
  </si>
  <si>
    <t>https://ebookcentral.proquest.com/lib/viva-active/detail.action?docID=4396091</t>
  </si>
  <si>
    <t>Out of the Closet, into the Archives : Researching Sexual Histories</t>
  </si>
  <si>
    <t>Stone, Amy L.;Cantrell, Jaime</t>
  </si>
  <si>
    <t>Gays - History - Sources</t>
  </si>
  <si>
    <t>https://ebookcentral.proquest.com/lib/viva-active/detail.action?docID=4396631</t>
  </si>
  <si>
    <t>Resisting Paradise : Tourism, Diaspora, and Sexuality in Caribbean Culture</t>
  </si>
  <si>
    <t>Caribbean Studies Ser.</t>
  </si>
  <si>
    <t>Nixon, Angelique V.</t>
  </si>
  <si>
    <t>Social Science; Tourism/Hospitality</t>
  </si>
  <si>
    <t>Tourism - Social aspects - Caribbean Area</t>
  </si>
  <si>
    <t>https://ebookcentral.proquest.com/lib/viva-active/detail.action?docID=4397134</t>
  </si>
  <si>
    <t>Gender, Politics and Land Use in Zimbabwe, 1980-2012</t>
  </si>
  <si>
    <t>Mafa, Onias;Gudhlanga, S.;Manyeruke, Norman</t>
  </si>
  <si>
    <t>Land reform--Zimbabwe.</t>
  </si>
  <si>
    <t>https://ebookcentral.proquest.com/lib/viva-active/detail.action?docID=4397430</t>
  </si>
  <si>
    <t>Gay, Lesbian, Bisexual, and Transgender Aging : Challenges in Research, Practice, and Policy</t>
  </si>
  <si>
    <t>Witten, Tarynn M.;Eyler, A. Evan</t>
  </si>
  <si>
    <t>Social Stigma</t>
  </si>
  <si>
    <t>https://ebookcentral.proquest.com/lib/viva-active/detail.action?docID=4398447</t>
  </si>
  <si>
    <t>Weekend Pilots : Technology, Masculinity, and Private Aviation in Postwar America</t>
  </si>
  <si>
    <t>Meyer, Alan</t>
  </si>
  <si>
    <t>Sport &amp;amp; Recreation; Engineering; Engineering: Mechanical</t>
  </si>
  <si>
    <t>Air pilots - Sex differences - United States</t>
  </si>
  <si>
    <t>https://ebookcentral.proquest.com/lib/viva-active/detail.action?docID=4398488</t>
  </si>
  <si>
    <t>Oklahomo : Lessons in Unqueering America</t>
  </si>
  <si>
    <t>Mason, Carol</t>
  </si>
  <si>
    <t>Christian conservatism - Oklahoma</t>
  </si>
  <si>
    <t>https://ebookcentral.proquest.com/lib/viva-active/detail.action?docID=4398762</t>
  </si>
  <si>
    <t>Despite All Adversities : Spanish-American Queer Cinema</t>
  </si>
  <si>
    <t>Lema-Hincapié, Andrés;Castillo, Debra A.</t>
  </si>
  <si>
    <t>https://ebookcentral.proquest.com/lib/viva-active/detail.action?docID=4398763</t>
  </si>
  <si>
    <t>Ensuring the Success of Latino Males in Higher Education</t>
  </si>
  <si>
    <t>Stylus Publishing, LLC</t>
  </si>
  <si>
    <t>Sáenz, Victor B.;Ponjuán, Luis;Sáenz, Victor B.;Ponjuán, Luis;Figueroa, Julie L.;Serrata, Willliam</t>
  </si>
  <si>
    <t>Hispanic American men--Education (Higher)</t>
  </si>
  <si>
    <t>https://ebookcentral.proquest.com/lib/viva-active/detail.action?docID=4410185</t>
  </si>
  <si>
    <t>Country Boys and Redneck Women : New Essays in Gender and Country Music</t>
  </si>
  <si>
    <t>American Made Music Ser.</t>
  </si>
  <si>
    <t>Pecknold, Diane;McCusker, Kristine M.</t>
  </si>
  <si>
    <t>Sex role in music</t>
  </si>
  <si>
    <t>https://ebookcentral.proquest.com/lib/viva-active/detail.action?docID=4438674</t>
  </si>
  <si>
    <t>Not Straight, Not White : Black Gay Men from the March on Washington to the AIDS Crisis</t>
  </si>
  <si>
    <t>Mumford, Kevin</t>
  </si>
  <si>
    <t>Gay men, Black - United States</t>
  </si>
  <si>
    <t>https://ebookcentral.proquest.com/lib/viva-active/detail.action?docID=4443605</t>
  </si>
  <si>
    <t>When Sun Meets Moon : Gender, Eros, and Ecstasy in Urdu Poetry</t>
  </si>
  <si>
    <t>Kugle, Scott</t>
  </si>
  <si>
    <t>Literature; Language/Linguistics</t>
  </si>
  <si>
    <t>Urdu poetry - 19th century - History and criticism</t>
  </si>
  <si>
    <t>https://ebookcentral.proquest.com/lib/viva-active/detail.action?docID=4443609</t>
  </si>
  <si>
    <t>My Brother Slaves : Friendship, Masculinity, and Resistance in the Antebellum South</t>
  </si>
  <si>
    <t>New Directions in Southern History Ser.</t>
  </si>
  <si>
    <t>Lussana, Sergio A.</t>
  </si>
  <si>
    <t>Male friendship - Southern States - History - 19th century</t>
  </si>
  <si>
    <t>https://ebookcentral.proquest.com/lib/viva-active/detail.action?docID=4458128</t>
  </si>
  <si>
    <t>Somatechnics : Queering the Technologisation of Bodies</t>
  </si>
  <si>
    <t>Murray, Samantha;Sullivan, Nikki</t>
  </si>
  <si>
    <t>Human body-Social aspects.</t>
  </si>
  <si>
    <t>https://ebookcentral.proquest.com/lib/viva-active/detail.action?docID=4468704</t>
  </si>
  <si>
    <t>Reproductive Health and Gender Equality : Method, Measurement, and Implications</t>
  </si>
  <si>
    <t>Wang, Guang-zhen</t>
  </si>
  <si>
    <t>Reproductive health-Developing countries. ; Women-Health and hygiene-Developing countries. ; Women's rights-Developing countries.</t>
  </si>
  <si>
    <t>https://ebookcentral.proquest.com/lib/viva-active/detail.action?docID=4500815</t>
  </si>
  <si>
    <t>Gay and Lesbian Communities the World Over</t>
  </si>
  <si>
    <t>Simon, Rita J.;Brooks, Alison M.</t>
  </si>
  <si>
    <t>Homosexuality - History</t>
  </si>
  <si>
    <t>https://ebookcentral.proquest.com/lib/viva-active/detail.action?docID=4505050</t>
  </si>
  <si>
    <t>Tropical Cowboys : Westerns, Violence, and Masculinity in Kinshasa</t>
  </si>
  <si>
    <t>African Expressive Cultures Ser.</t>
  </si>
  <si>
    <t>Gondola, Ch. Didier</t>
  </si>
  <si>
    <t>Kinshasa (Congo) - Social conditions - 19th century</t>
  </si>
  <si>
    <t>https://ebookcentral.proquest.com/lib/viva-active/detail.action?docID=4508890</t>
  </si>
  <si>
    <t>Researching Non-Heterosexual Sexualities</t>
  </si>
  <si>
    <t>Sexual minorities-Research. ; Homosexuality-Research. ; Sexology-Research.</t>
  </si>
  <si>
    <t>https://ebookcentral.proquest.com/lib/viva-active/detail.action?docID=4511874</t>
  </si>
  <si>
    <t>Queer Environmentality : Ecology, Evolution, and Sexuality in American Literature</t>
  </si>
  <si>
    <t>Azzarello, Robert</t>
  </si>
  <si>
    <t>American literature-History and criticism. ; Environmentalism in literature. ; Homosexuality in literature. ; Ecology in literature.</t>
  </si>
  <si>
    <t>https://ebookcentral.proquest.com/lib/viva-active/detail.action?docID=4511891</t>
  </si>
  <si>
    <t>Queer Methods and Methodologies : Intersecting Queer Theories and Social Science Research</t>
  </si>
  <si>
    <t>Nash, Catherine J.;Browne, Kath</t>
  </si>
  <si>
    <t>Queer theory. ; Social sciences-Research-Methodology.</t>
  </si>
  <si>
    <t>https://ebookcentral.proquest.com/lib/viva-active/detail.action?docID=4512194</t>
  </si>
  <si>
    <t>Gaydar Culture : Gay Men, Technology and Embodiment in the Digital Age</t>
  </si>
  <si>
    <t>Mowlabocus, Sharif</t>
  </si>
  <si>
    <t>Internet and gay men. ; Gay culture-Great Britain. ; Gay culture.</t>
  </si>
  <si>
    <t>https://ebookcentral.proquest.com/lib/viva-active/detail.action?docID=4512822</t>
  </si>
  <si>
    <t>Feminist and Queer Legal Theory : Intimate Encounters, Uncomfortable Conversations</t>
  </si>
  <si>
    <t>Fineman, Martha Albertson;Jackson, Jack E.;Romero, Adam P.</t>
  </si>
  <si>
    <t>https://ebookcentral.proquest.com/lib/viva-active/detail.action?docID=4512929</t>
  </si>
  <si>
    <t>Sex and the Second-Best City : Sex and Society in the Laws of Plato</t>
  </si>
  <si>
    <t>Studies in Classics Ser.</t>
  </si>
  <si>
    <t>Moore, Kenneth Royce</t>
  </si>
  <si>
    <t>Homosexuality - Greece - History to 1500</t>
  </si>
  <si>
    <t>https://ebookcentral.proquest.com/lib/viva-active/detail.action?docID=4517115</t>
  </si>
  <si>
    <t>Veiled Empire : Gender and Power in Stalinist Central Asia</t>
  </si>
  <si>
    <t>Northrop, Douglas T.</t>
  </si>
  <si>
    <t>Soviet Union--Relations--Uzbekistan.</t>
  </si>
  <si>
    <t>https://ebookcentral.proquest.com/lib/viva-active/detail.action?docID=4517877</t>
  </si>
  <si>
    <t>First Queer Voices from Thailand : Uncle Go’s Advice Columns for Gays, Lesbians and &lt;i&gt;Kathoeys&lt;/i&gt;</t>
  </si>
  <si>
    <t>Peter A. Jackson</t>
  </si>
  <si>
    <t>Male homosexuality--Thailand.</t>
  </si>
  <si>
    <t>https://ebookcentral.proquest.com/lib/viva-active/detail.action?docID=4520420</t>
  </si>
  <si>
    <t>Fair Play : How LGBT Athletes Are Claiming Their Rightful Place in Sports</t>
  </si>
  <si>
    <t>NONE</t>
  </si>
  <si>
    <t>Zeigler, Cyd</t>
  </si>
  <si>
    <t>Transgender athletes</t>
  </si>
  <si>
    <t>https://ebookcentral.proquest.com/lib/viva-active/detail.action?docID=4528391</t>
  </si>
  <si>
    <t>Domestic Frontiers : Gender, Reform, and American Interventions in the Ottoman Balkans and the Near East</t>
  </si>
  <si>
    <t>University of Massachusetts Press</t>
  </si>
  <si>
    <t>Reeves-Ellington, Barbara</t>
  </si>
  <si>
    <t>Women missionaries--Balkan Peninsula--History.</t>
  </si>
  <si>
    <t>https://ebookcentral.proquest.com/lib/viva-active/detail.action?docID=4533146</t>
  </si>
  <si>
    <t>Lies About My Family : A Memoir</t>
  </si>
  <si>
    <t>Hoffman, Amy</t>
  </si>
  <si>
    <t>Rutherford (N.J.)--Biography.</t>
  </si>
  <si>
    <t>https://ebookcentral.proquest.com/lib/viva-active/detail.action?docID=4533156</t>
  </si>
  <si>
    <t>1960s Gay Pulp Fiction : The Misplaced Heritage</t>
  </si>
  <si>
    <t>Studies in Print Culture and the History of the Book</t>
  </si>
  <si>
    <t>Gunn, Drewey Wayne;Harker, Jaime</t>
  </si>
  <si>
    <t>Gays' writings, American--History and criticism.</t>
  </si>
  <si>
    <t>https://ebookcentral.proquest.com/lib/viva-active/detail.action?docID=4533180</t>
  </si>
  <si>
    <t>A Question of Sex : Feminism, Rhetoric, and Differences That Matter</t>
  </si>
  <si>
    <t>Poirot, Kristan</t>
  </si>
  <si>
    <t>https://ebookcentral.proquest.com/lib/viva-active/detail.action?docID=4533200</t>
  </si>
  <si>
    <t>Suburban Plots : Men at Home in Nineteenth-Century American Print Culture</t>
  </si>
  <si>
    <t>D'Amore, Maura</t>
  </si>
  <si>
    <t>Suburbs--United States--History--19th century.</t>
  </si>
  <si>
    <t>https://ebookcentral.proquest.com/lib/viva-active/detail.action?docID=4533203</t>
  </si>
  <si>
    <t>Audre Lorde's Transnational Legacies</t>
  </si>
  <si>
    <t>Bolaki, Stella;Broeck, Sabine</t>
  </si>
  <si>
    <t>Political Science; Literature</t>
  </si>
  <si>
    <t>Lorde, Audre - Influence</t>
  </si>
  <si>
    <t>https://ebookcentral.proquest.com/lib/viva-active/detail.action?docID=4533223</t>
  </si>
  <si>
    <t>Man Up : A Study of Gendered Expectations of Masculinities at the Fin de Siècle</t>
  </si>
  <si>
    <t>Ramday, Morna</t>
  </si>
  <si>
    <t>English literature--19th century--History and criticism.</t>
  </si>
  <si>
    <t>https://ebookcentral.proquest.com/lib/viva-active/detail.action?docID=4534884</t>
  </si>
  <si>
    <t>Gendering Commitment : Re-thinking Social and Ethical Engagement in Modern Italian Culture</t>
  </si>
  <si>
    <t>Standen, Alex</t>
  </si>
  <si>
    <t>Italy--Social conditions--1994-</t>
  </si>
  <si>
    <t>https://ebookcentral.proquest.com/lib/viva-active/detail.action?docID=4534902</t>
  </si>
  <si>
    <t>Experiencing Gender : International Approaches</t>
  </si>
  <si>
    <t>Carrasco-Carrasco, Rocío;Pérez-Vides, Auxiliadora</t>
  </si>
  <si>
    <t>Gender identity.</t>
  </si>
  <si>
    <t>https://ebookcentral.proquest.com/lib/viva-active/detail.action?docID=4534945</t>
  </si>
  <si>
    <t>Lean Out : The Struggle for Gender Equality In Tech and Start-Up Culture</t>
  </si>
  <si>
    <t>OR Books</t>
  </si>
  <si>
    <t>Elissa Shevinsky</t>
  </si>
  <si>
    <t>Sex discrimination in employment--United States.</t>
  </si>
  <si>
    <t>https://ebookcentral.proquest.com/lib/viva-active/detail.action?docID=4535984</t>
  </si>
  <si>
    <t>Work and Family : Latin American and Caribbean Women in Search of a New Balance</t>
  </si>
  <si>
    <t>Latin American Development Forum</t>
  </si>
  <si>
    <t>Chioda, Laura;VerdÃº, Roberto Garcia</t>
  </si>
  <si>
    <t>Women employees - Caribbean Area</t>
  </si>
  <si>
    <t>https://ebookcentral.proquest.com/lib/viva-active/detail.action?docID=4557037</t>
  </si>
  <si>
    <t>A Reflexive Inquiry into Gender Research : Towards a New Paradigm of Knowledge Production &amp; Exploring New Frontiers of Gender Research in Southern Africa</t>
  </si>
  <si>
    <t>Schalkwyk, Samantha Van;Gobodo-Madikizela,  Pumla</t>
  </si>
  <si>
    <t>Women--Legal status, laws, etc.--Africa, Southern.</t>
  </si>
  <si>
    <t>https://ebookcentral.proquest.com/lib/viva-active/detail.action?docID=4567487</t>
  </si>
  <si>
    <t>Juki Girls, Good Girls : Gender and Cultural Politics in Sri Lanka's Global Garment Industry</t>
  </si>
  <si>
    <t>Lynch, Caitrin</t>
  </si>
  <si>
    <t>Women clothing workers--Sri Lanka--Case studies.</t>
  </si>
  <si>
    <t>https://ebookcentral.proquest.com/lib/viva-active/detail.action?docID=4586001</t>
  </si>
  <si>
    <t>Counseling African American Males : Effective Therapeutic Interventions and Approaches</t>
  </si>
  <si>
    <t>African American Male Series: Guiding the Next Generation Through Mentoring, Teaching and Counseling</t>
  </si>
  <si>
    <t>Ross, Dr. William</t>
  </si>
  <si>
    <t>Medicine; Health; Psychology; Social Science</t>
  </si>
  <si>
    <t>African American men - Counseling of</t>
  </si>
  <si>
    <t>https://ebookcentral.proquest.com/lib/viva-active/detail.action?docID=4592565</t>
  </si>
  <si>
    <t>Same-Sex Marriage in Renaissance Rome : Sexuality, Identity, and Community in Early Modern Europe</t>
  </si>
  <si>
    <t>Signale: Modern German Letters, Cultures, and Thought Ser.</t>
  </si>
  <si>
    <t>Ferguson, Gary</t>
  </si>
  <si>
    <t>Gay men - Europe - Attitudes</t>
  </si>
  <si>
    <t>https://ebookcentral.proquest.com/lib/viva-active/detail.action?docID=4605123</t>
  </si>
  <si>
    <t>Gay Is Good : The Life and Letters of Gay Rights Pioneer Franklin Kameny</t>
  </si>
  <si>
    <t>Long, Michael G.;Long, Michael G.</t>
  </si>
  <si>
    <t>Kameny, Frank</t>
  </si>
  <si>
    <t>https://ebookcentral.proquest.com/lib/viva-active/detail.action?docID=4649153</t>
  </si>
  <si>
    <t>Bodies, Lives, Voices : Gender in Theology</t>
  </si>
  <si>
    <t>Religious Studies: Bloomsbury Academic Collections</t>
  </si>
  <si>
    <t>Gray, Janette;Gilroy, Ann L.;O'Grady, Kathleen</t>
  </si>
  <si>
    <t>https://ebookcentral.proquest.com/lib/viva-active/detail.action?docID=4659677</t>
  </si>
  <si>
    <t>Chaucer's Queer Poetics : Rereading the Dream Trio</t>
  </si>
  <si>
    <t>University of Toronto Press</t>
  </si>
  <si>
    <t>Schibanoff, Susan</t>
  </si>
  <si>
    <t>https://ebookcentral.proquest.com/lib/viva-active/detail.action?docID=4671342</t>
  </si>
  <si>
    <t>Pink Blood : Homophobic Violence in Canada</t>
  </si>
  <si>
    <t>Janoff, Douglas Victor</t>
  </si>
  <si>
    <t>https://ebookcentral.proquest.com/lib/viva-active/detail.action?docID=4671831</t>
  </si>
  <si>
    <t>The Triumphant Juan Rana : A Gay Actor of the Spanish Golden Age</t>
  </si>
  <si>
    <t>University of Toronto Romance Series</t>
  </si>
  <si>
    <t>Thompson, Peter E.</t>
  </si>
  <si>
    <t>https://ebookcentral.proquest.com/lib/viva-active/detail.action?docID=4672171</t>
  </si>
  <si>
    <t>Queer Inclusions, Continental Divisions : Public Recognition of Sexual Diversity in Canada and the United States</t>
  </si>
  <si>
    <t>Rayside, David</t>
  </si>
  <si>
    <t>Homosexualite - Aspect politique - Etats-Unis</t>
  </si>
  <si>
    <t>https://ebookcentral.proquest.com/lib/viva-active/detail.action?docID=4672656</t>
  </si>
  <si>
    <t>Strangers in Our Midst : Sexual Deviancy in Postwar Ontario</t>
  </si>
  <si>
    <t>Studies in Gender and History</t>
  </si>
  <si>
    <t>Chenier, Elise</t>
  </si>
  <si>
    <t>Paraphilias - Treatment - Ontario - History - 20th century</t>
  </si>
  <si>
    <t>https://ebookcentral.proquest.com/lib/viva-active/detail.action?docID=4672681</t>
  </si>
  <si>
    <t>Hopeless Love : Boiardo, Ariosto, and Narratives of Queer Female Desire</t>
  </si>
  <si>
    <t>Toronto Italian Studies</t>
  </si>
  <si>
    <t>DeCoste, Mary-Michelle</t>
  </si>
  <si>
    <t>Boiardo, Matteo Maria - Criticism and interpretation</t>
  </si>
  <si>
    <t>https://ebookcentral.proquest.com/lib/viva-active/detail.action?docID=4672913</t>
  </si>
  <si>
    <t>Lelia's Kiss : Imagining Gender, Sex, and Marriage in Italian Renaissance Comedy</t>
  </si>
  <si>
    <t>Giannetti, Laura</t>
  </si>
  <si>
    <t>https://ebookcentral.proquest.com/lib/viva-active/detail.action?docID=4672921</t>
  </si>
  <si>
    <t>Entering Transmasculinity : The Inevitability of Discourse</t>
  </si>
  <si>
    <t>heinz, matthew</t>
  </si>
  <si>
    <t>Transgender people - Identity</t>
  </si>
  <si>
    <t>https://ebookcentral.proquest.com/lib/viva-active/detail.action?docID=4675510</t>
  </si>
  <si>
    <t>Gender and American Politics : Women, Men and the Political Process</t>
  </si>
  <si>
    <t>Tolleson-Rinehart, Sue;Josephson, Jyl J.</t>
  </si>
  <si>
    <t>https://ebookcentral.proquest.com/lib/viva-active/detail.action?docID=4693201</t>
  </si>
  <si>
    <t>Japanese Language, Gender, and Ideology : Cultural Models and Real People</t>
  </si>
  <si>
    <t>Okamoto, Shigeko;Shibamoto Smith, Janet S.</t>
  </si>
  <si>
    <t>Japanese language--Social aspects.</t>
  </si>
  <si>
    <t>https://ebookcentral.proquest.com/lib/viva-active/detail.action?docID=4702214</t>
  </si>
  <si>
    <t>When Men Dance : Choreographing Masculinities Across Borders</t>
  </si>
  <si>
    <t>Fisher, Jennifer;Shay, Anthony</t>
  </si>
  <si>
    <t>Fine Arts; Sport &amp;amp; Recreation</t>
  </si>
  <si>
    <t>Male dancers.</t>
  </si>
  <si>
    <t>https://ebookcentral.proquest.com/lib/viva-active/detail.action?docID=4705875</t>
  </si>
  <si>
    <t>Rhetorical Drag : Gender Impersonation, Captivity, and the Writing of History</t>
  </si>
  <si>
    <t>The Kent State University Press</t>
  </si>
  <si>
    <t>Carroll, Lorrayne</t>
  </si>
  <si>
    <t>Captivity narratives--United States--History and criticism.</t>
  </si>
  <si>
    <t>https://ebookcentral.proquest.com/lib/viva-active/detail.action?docID=4714013</t>
  </si>
  <si>
    <t>Men and Style : Essays, Interviews and Considerations</t>
  </si>
  <si>
    <t>Abrams</t>
  </si>
  <si>
    <t>Coggins, David</t>
  </si>
  <si>
    <t>DESIGN / Fashion &amp; Accessories</t>
  </si>
  <si>
    <t>https://ebookcentral.proquest.com/lib/viva-active/detail.action?docID=4728396</t>
  </si>
  <si>
    <t>Trans* in College : Transgender Students' Strategies for Navigating Campus Life and the Institutional Politics of Inclusion</t>
  </si>
  <si>
    <t>Renn, Kristen A.;Nicolazzo, Z.;Quaye, Stephen John</t>
  </si>
  <si>
    <t>College studient orientation</t>
  </si>
  <si>
    <t>https://ebookcentral.proquest.com/lib/viva-active/detail.action?docID=4749887</t>
  </si>
  <si>
    <t>Sexualité et rites en Afrique : Hier et aujourd'hui</t>
  </si>
  <si>
    <t>Editions Scribe</t>
  </si>
  <si>
    <t>Musabyimana, Gaspard</t>
  </si>
  <si>
    <t>Sex role-Africa.</t>
  </si>
  <si>
    <t>https://ebookcentral.proquest.com/lib/viva-active/detail.action?docID=4764228</t>
  </si>
  <si>
    <t>Queering Women's and Gender Studies</t>
  </si>
  <si>
    <t>Crespo, Begoña;Moskowich,  Isabel;Núñez-Puente,  Carolina</t>
  </si>
  <si>
    <t>Women's studies.</t>
  </si>
  <si>
    <t>https://ebookcentral.proquest.com/lib/viva-active/detail.action?docID=4770282</t>
  </si>
  <si>
    <t>Queer Stories of Europe</t>
  </si>
  <si>
    <t>Vērdiņs, Kārlis;Ozoliņs, Jānis</t>
  </si>
  <si>
    <t>Homosexuality--Europe--History--20th century.</t>
  </si>
  <si>
    <t>https://ebookcentral.proquest.com/lib/viva-active/detail.action?docID=4770284</t>
  </si>
  <si>
    <t>The Hunchback of Notre Dame</t>
  </si>
  <si>
    <t>Open Road Media</t>
  </si>
  <si>
    <t>Hugo, Victor</t>
  </si>
  <si>
    <t>People with disabilities--Fiction.</t>
  </si>
  <si>
    <t>https://ebookcentral.proquest.com/lib/viva-active/detail.action?docID=4791316</t>
  </si>
  <si>
    <t>Êve : Enquête philosophique sur la sexualité et l'amour</t>
  </si>
  <si>
    <t>Les Presses de l'Université Laval</t>
  </si>
  <si>
    <t>Dialoguer</t>
  </si>
  <si>
    <t>Sasseville, Michel;Michel, Sasseville</t>
  </si>
  <si>
    <t>Sexual ethics.</t>
  </si>
  <si>
    <t>https://ebookcentral.proquest.com/lib/viva-active/detail.action?docID=4796706</t>
  </si>
  <si>
    <t>Intersections of Identity and Sexual Violence on Campus : Centering Minoritized Students' Experiences</t>
  </si>
  <si>
    <t>Harris, Jessica C.;Linder, Chris;Wanjuki, Wagatwe</t>
  </si>
  <si>
    <t>Rape in universities and colleges--United States.</t>
  </si>
  <si>
    <t>https://ebookcentral.proquest.com/lib/viva-active/detail.action?docID=4801051</t>
  </si>
  <si>
    <t>A Two-Spirit Journey : The Autobiography of a Lesbian Ojibwa-Cree Elder</t>
  </si>
  <si>
    <t>University of Manitoba Press</t>
  </si>
  <si>
    <t>Critical Studies in Native History Ser.</t>
  </si>
  <si>
    <t>Chacaby, Ma-Nee;Plummer, Mary Louisa</t>
  </si>
  <si>
    <t>Cree Indians - Ontario - Thunder Bay</t>
  </si>
  <si>
    <t>https://ebookcentral.proquest.com/lib/viva-active/detail.action?docID=4801617</t>
  </si>
  <si>
    <t>All Change Please : A Practical Guide to Achieving Gender Equality in Theatre</t>
  </si>
  <si>
    <t>Nick Hern Books</t>
  </si>
  <si>
    <t>Kerbel, Lucy</t>
  </si>
  <si>
    <t>Women in the theater.</t>
  </si>
  <si>
    <t>https://ebookcentral.proquest.com/lib/viva-active/detail.action?docID=4814471</t>
  </si>
  <si>
    <t>Butler Matters : Judith Butler's Impact on Feminist and Queer Studies</t>
  </si>
  <si>
    <t>Blumenfeld, Warren J.;Breen, Margaret Sönser</t>
  </si>
  <si>
    <t>https://ebookcentral.proquest.com/lib/viva-active/detail.action?docID=4816740</t>
  </si>
  <si>
    <t>Gender and Sexual Dissidence on Catalan and Spanish Television Series : An Intercultural Analysis</t>
  </si>
  <si>
    <t>Grassi, Silvia</t>
  </si>
  <si>
    <t>Business/Management; Fine Arts</t>
  </si>
  <si>
    <t>Television broadcasting--Social aspects--Spain.</t>
  </si>
  <si>
    <t>https://ebookcentral.proquest.com/lib/viva-active/detail.action?docID=4820046</t>
  </si>
  <si>
    <t>Theatre, Teens, Sex Ed : Are We There Yet? (The Play)</t>
  </si>
  <si>
    <t>The University of Alberta Press</t>
  </si>
  <si>
    <t>Selman, Jan;Heather, Jane</t>
  </si>
  <si>
    <t>Sex instruction for teenagers.</t>
  </si>
  <si>
    <t>https://ebookcentral.proquest.com/lib/viva-active/detail.action?docID=4827032</t>
  </si>
  <si>
    <t>Gendered Militarism in Canada : Learning Conformity and Resistance</t>
  </si>
  <si>
    <t>Taber, Nancy;Castrodale, Mark Anthony;Fournier, Gillian L.;Hanson, Cindy L.;Lane, Laura;Magnusson, Jamie;Mizzi, Robert C.;Mojab, Shahrzad;Ratkovic, Snežana;Saul, Roger</t>
  </si>
  <si>
    <t>Educational sociology--Canada.</t>
  </si>
  <si>
    <t>https://ebookcentral.proquest.com/lib/viva-active/detail.action?docID=4827364</t>
  </si>
  <si>
    <t>Masculindians : Conversations about Indigenous Manhood</t>
  </si>
  <si>
    <t>McKegney, Sam;Boyden, Joseph;Highway, Tomson;Maracle, Lee;Sinclair, Niigaanwewidam James;Johnston, Basil H.;Claxton, Dana;Moses, Daniel David;Halfe, Louise Bernice;Alfred, Taiaiake</t>
  </si>
  <si>
    <t>Indians of North America--Psychology.</t>
  </si>
  <si>
    <t>https://ebookcentral.proquest.com/lib/viva-active/detail.action?docID=4828061</t>
  </si>
  <si>
    <t>Indigenous Men and Masculinities : Legacies, Identities, Regeneration</t>
  </si>
  <si>
    <t>Innes, Robert Alexander;Anderson, Kim;Cariou, Warren;Tengan, Ty P. Kāwika;Hokowhitu, Brendan;Justice, Daniel Heath;Scofield, Gregory;Sinclair, Niigaanwewidam James;McKegney, Sam;Antone, Bob</t>
  </si>
  <si>
    <t>Indian men--Identity.</t>
  </si>
  <si>
    <t>https://ebookcentral.proquest.com/lib/viva-active/detail.action?docID=4828129</t>
  </si>
  <si>
    <t>Selling Sex in the Silver Valley : A Business Doing Pleasure</t>
  </si>
  <si>
    <t>Arcadia Publishing Inc.</t>
  </si>
  <si>
    <t>Branstetter, Dr. Heather</t>
  </si>
  <si>
    <t>Brothels-Idaho-Wallace-History. ; Prostitution-Idaho-Wallace-History. ; Prostitutes-Idaho-Wallace-History. ; Wallace (Idaho)-History.</t>
  </si>
  <si>
    <t>https://ebookcentral.proquest.com/lib/viva-active/detail.action?docID=4852820</t>
  </si>
  <si>
    <t>Sex Difference in Christian Theology : Male, Female, and Intersex in the Image of God</t>
  </si>
  <si>
    <t>William B. Eerdmans Publishing Company</t>
  </si>
  <si>
    <t>DeFranza, Megan K.</t>
  </si>
  <si>
    <t>Sex differences--Religious aspects--Christianity.</t>
  </si>
  <si>
    <t>https://ebookcentral.proquest.com/lib/viva-active/detail.action?docID=4859208</t>
  </si>
  <si>
    <t>Wives and Daughters</t>
  </si>
  <si>
    <t>Gaskell, Elizabeth</t>
  </si>
  <si>
    <t>Children of physicians-Fiction. ; FICTION / Literary.-bisacsh ; FICTION / Family Life.-bisacsh ; FICTION / Coming of Age.-bisacsh ; FICTION / Classics.-bisacsh ; Fathers and daughters-Fiction. ; Social classes-England-Fiction. ; Young women-England-Fiction. ; Stepfamilies-Fiction.</t>
  </si>
  <si>
    <t>https://ebookcentral.proquest.com/lib/viva-active/detail.action?docID=4861053</t>
  </si>
  <si>
    <t>Gender, Sexuality, and the Cold War : A Global Perspective</t>
  </si>
  <si>
    <t>Vanderbilt University Press</t>
  </si>
  <si>
    <t>Muehlenbeck, Philip E.</t>
  </si>
  <si>
    <t>World politics--1945-1989.</t>
  </si>
  <si>
    <t>https://ebookcentral.proquest.com/lib/viva-active/detail.action?docID=4877922</t>
  </si>
  <si>
    <t>The Kinsey Institute : The First Seventy Years</t>
  </si>
  <si>
    <t>Well House Bks.</t>
  </si>
  <si>
    <t>Allen, Judith A.;Allinson, Hallimeda E.;Clark-Huckstep, Andrew;Hill, Brandon J.;Sanders, Stephanie A.;Zhou, Liana</t>
  </si>
  <si>
    <t>Sexology--Research--United States--History.</t>
  </si>
  <si>
    <t>https://ebookcentral.proquest.com/lib/viva-active/detail.action?docID=4915566</t>
  </si>
  <si>
    <t>Children by Choice? : Changing Values, Reproduction, and Family Planning in the 20th Century</t>
  </si>
  <si>
    <t>Wertewandel Im 20. Jahrhundert Ser.</t>
  </si>
  <si>
    <t>Gembries, Ann-Katrin;Theuke, Theresia;Heinemann, Isabel</t>
  </si>
  <si>
    <t>Contraception-History. ; Family planning. ; Birth control.</t>
  </si>
  <si>
    <t>https://ebookcentral.proquest.com/lib/viva-active/detail.action?docID=5157258</t>
  </si>
  <si>
    <t>More Heat Than Light? : Sex-Difference Science and the Study of Language</t>
  </si>
  <si>
    <t>Ronsdale Press</t>
  </si>
  <si>
    <t>Cameron, Deborah</t>
  </si>
  <si>
    <t>Language and languages-Sex differences. ; Sociolinguistics.</t>
  </si>
  <si>
    <t>https://ebookcentral.proquest.com/lib/viva-active/detail.action?docID=5193671</t>
  </si>
  <si>
    <t>Reading from Behind : A Cultural Analysis of the Anus</t>
  </si>
  <si>
    <t>University of Regina</t>
  </si>
  <si>
    <t>The Exquisite Corpse Ser.</t>
  </si>
  <si>
    <t>Allan, Jonathan A.</t>
  </si>
  <si>
    <t>Anus-Social aspects. ; Anus. ; Buttocks-Social aspects. ; Sex in popular culture.</t>
  </si>
  <si>
    <t>https://ebookcentral.proquest.com/lib/viva-active/detail.action?docID=5200989</t>
  </si>
  <si>
    <t>Virgin Envy : The Cultural (in)Significance of the Hymen</t>
  </si>
  <si>
    <t>Allan, Jonathan A.;Santos, Cristina;Spahr, Adriana</t>
  </si>
  <si>
    <t>Virginity-Social aspects. ; Virginity-Political aspects. ; Virginity-History. ; Virginity in literature. ; Virginity in motion pictures. ; Hymen (Gynecology)</t>
  </si>
  <si>
    <t>https://ebookcentral.proquest.com/lib/viva-active/detail.action?docID=5202723</t>
  </si>
  <si>
    <t>Hegemony and Heteronormativity : Revisiting 'the Political' in Queer Politics</t>
  </si>
  <si>
    <t>Varela, María do Mar Castro;Dhawan, Nikita;Engel, Antke</t>
  </si>
  <si>
    <t>Heterosexism. ; Hegemony. ; Queer theory.</t>
  </si>
  <si>
    <t>https://ebookcentral.proquest.com/lib/viva-active/detail.action?docID=5208160</t>
  </si>
  <si>
    <t>Foucault's Futures : A Critique of Reproductive Reason</t>
  </si>
  <si>
    <t>Critical Life Studies</t>
  </si>
  <si>
    <t>Deutscher, Penelope</t>
  </si>
  <si>
    <t>Feminist ethics. ; Human reproduction-Philosophy. ; Sex-Philosophy. ; Foucault, Michel,-1926-1984-Influence.</t>
  </si>
  <si>
    <t>https://ebookcentral.proquest.com/lib/viva-active/detail.action?docID=5276008</t>
  </si>
  <si>
    <t>Queer City : Gay London from the Romans to the Present Day</t>
  </si>
  <si>
    <t>Ackroyd, Peter</t>
  </si>
  <si>
    <t>Gays-England-London-History. ; Homosexuality-England-London-History.</t>
  </si>
  <si>
    <t>https://ebookcentral.proquest.com/lib/viva-active/detail.action?docID=5345703</t>
  </si>
  <si>
    <t>The Evils of Polygyny : Evidence of Its Harm to Women, Men, and Society</t>
  </si>
  <si>
    <t>The Easton Lectures</t>
  </si>
  <si>
    <t>McDermott, Rose;Monroe, Kristen Renwick;Wray, B. J.;Hudson, Valerie;Jervis, Robert</t>
  </si>
  <si>
    <t>Polygyny. ; Male domination (Social structure) ; Women-Violence against.</t>
  </si>
  <si>
    <t>https://ebookcentral.proquest.com/lib/viva-active/detail.action?docID=5372052</t>
  </si>
  <si>
    <t>Transgender Mental Health</t>
  </si>
  <si>
    <t>American Psychiatric Association Publishing</t>
  </si>
  <si>
    <t>Yarbrough, Eric</t>
  </si>
  <si>
    <t>https://ebookcentral.proquest.com/lib/viva-active/detail.action?docID=5400329</t>
  </si>
  <si>
    <t>Youth Who Trade Sex in the U. S. : Intersectionality, Agency, and Vulnerability</t>
  </si>
  <si>
    <t>Child prostitution-United States. ; Teenage prostitution-United States.</t>
  </si>
  <si>
    <t>https://ebookcentral.proquest.com/lib/viva-active/detail.action?docID=5404254</t>
  </si>
  <si>
    <t>Compulsive Acts</t>
  </si>
  <si>
    <t>Guernica Editions, Incorporated</t>
  </si>
  <si>
    <t>Bateman, David;Haferty, Paul;Gilbert, Sky</t>
  </si>
  <si>
    <t>Gilbert, Sky,-1952--Criticism and interpretation. ; Gilbert, Sky,-1952--gnd-(DE-588)1064607233 ; Gilbert, Sky-Critique et interpretation.-ram ; Canadian drama-20th century. ; Drama.-gnd-(DE-588)4012899-4</t>
  </si>
  <si>
    <t>https://ebookcentral.proquest.com/lib/viva-active/detail.action?docID=5437864</t>
  </si>
  <si>
    <t>A Family by Any Other Name : Exploring Queer Relationships</t>
  </si>
  <si>
    <t>TouchWood Editions</t>
  </si>
  <si>
    <t>Gillespie, Bruce</t>
  </si>
  <si>
    <t>Gays-Family relationships. ; Gay couples. ; Gay parents.</t>
  </si>
  <si>
    <t>https://ebookcentral.proquest.com/lib/viva-active/detail.action?docID=5439352</t>
  </si>
  <si>
    <t>Ugly Differences : Queer Female Sexuality in the Underground</t>
  </si>
  <si>
    <t>Howard, Yetta</t>
  </si>
  <si>
    <t>Lesbians-Identity. ; Ugliness. ; Queer theory. ; Lesbians in mass media. ; Alternative mass media.</t>
  </si>
  <si>
    <t>https://ebookcentral.proquest.com/lib/viva-active/detail.action?docID=5471031</t>
  </si>
  <si>
    <t>Scripture, Ethics, and the Possibility of Same-Sex Relationships</t>
  </si>
  <si>
    <t>Keen, Karen R.</t>
  </si>
  <si>
    <t>Homosexuality-Religious aspects-Christianity.</t>
  </si>
  <si>
    <t>https://ebookcentral.proquest.com/lib/viva-active/detail.action?docID=5581103</t>
  </si>
  <si>
    <t>This Is What a Feminist Slut Looks Like : Perspectives on the SlutWalk Movement</t>
  </si>
  <si>
    <t>Demeter Press</t>
  </si>
  <si>
    <t>Teekah, Alyssa;Scholz, Erika Jane;Friedman, May;O'Reilly, Andrea</t>
  </si>
  <si>
    <t>https://ebookcentral.proquest.com/lib/viva-active/detail.action?docID=5598294</t>
  </si>
  <si>
    <t>Edges of the Rainbow : LGBTQ Japan</t>
  </si>
  <si>
    <t>Delsol, Michel;Shinozaki, Haruku;McLelland, Mark</t>
  </si>
  <si>
    <t>Sexual minorities-Japan.</t>
  </si>
  <si>
    <t>https://ebookcentral.proquest.com/lib/viva-active/detail.action?docID=5751096</t>
  </si>
  <si>
    <t>Buttoned Up : Clothing, Conformity, and White-Collar Masculinity</t>
  </si>
  <si>
    <t>Casanova, Erynn Masi de</t>
  </si>
  <si>
    <t>Clothing and dress-Social aspects-United States.</t>
  </si>
  <si>
    <t>https://ebookcentral.proquest.com/lib/viva-active/detail.action?docID=5965025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</si>
</sst>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4259E-0143-4D11-BA9C-0E2166C8C627}">
  <dimension ref="A1:I1350"/>
  <sheetViews>
    <sheetView tabSelected="1" workbookViewId="0">
      <selection activeCell="A2" sqref="A2"/>
    </sheetView>
  </sheetViews>
  <sheetFormatPr defaultRowHeight="14.5" x14ac:dyDescent="0.35"/>
  <cols>
    <col min="1" max="1" width="29.90625" customWidth="1"/>
    <col min="2" max="2" width="18" customWidth="1"/>
    <col min="3" max="3" width="68.453125" customWidth="1"/>
    <col min="4" max="4" width="27.453125" customWidth="1"/>
    <col min="5" max="5" width="12.1796875" customWidth="1"/>
  </cols>
  <sheetData>
    <row r="1" spans="1:9" x14ac:dyDescent="0.35">
      <c r="A1" s="1" t="s">
        <v>0</v>
      </c>
      <c r="B1" s="1" t="s">
        <v>1</v>
      </c>
      <c r="C1" s="1" t="s">
        <v>7</v>
      </c>
      <c r="D1" s="1" t="s">
        <v>4</v>
      </c>
      <c r="E1" s="1" t="s">
        <v>2</v>
      </c>
      <c r="F1" s="1" t="s">
        <v>3</v>
      </c>
      <c r="H1" s="1" t="s">
        <v>5</v>
      </c>
      <c r="I1" s="1" t="s">
        <v>6</v>
      </c>
    </row>
    <row r="2" spans="1:9" x14ac:dyDescent="0.35">
      <c r="A2" t="s">
        <v>8</v>
      </c>
      <c r="B2" t="str">
        <f>"9780203031353"</f>
        <v>9780203031353</v>
      </c>
      <c r="C2" t="s">
        <v>13</v>
      </c>
      <c r="D2" t="s">
        <v>10</v>
      </c>
      <c r="E2" t="s">
        <v>9</v>
      </c>
      <c r="H2" t="s">
        <v>11</v>
      </c>
      <c r="I2" t="s">
        <v>12</v>
      </c>
    </row>
    <row r="3" spans="1:9" x14ac:dyDescent="0.35">
      <c r="A3" t="s">
        <v>14</v>
      </c>
      <c r="B3" t="str">
        <f>"9780203024638"</f>
        <v>9780203024638</v>
      </c>
      <c r="C3" t="s">
        <v>19</v>
      </c>
      <c r="D3" t="s">
        <v>16</v>
      </c>
      <c r="E3" t="s">
        <v>9</v>
      </c>
      <c r="F3" t="s">
        <v>15</v>
      </c>
      <c r="H3" t="s">
        <v>17</v>
      </c>
      <c r="I3" t="s">
        <v>18</v>
      </c>
    </row>
    <row r="4" spans="1:9" x14ac:dyDescent="0.35">
      <c r="A4" t="s">
        <v>20</v>
      </c>
      <c r="B4" t="str">
        <f>"9780203020173"</f>
        <v>9780203020173</v>
      </c>
      <c r="C4" t="s">
        <v>24</v>
      </c>
      <c r="D4" t="s">
        <v>21</v>
      </c>
      <c r="E4" t="s">
        <v>9</v>
      </c>
      <c r="H4" t="s">
        <v>22</v>
      </c>
      <c r="I4" t="s">
        <v>23</v>
      </c>
    </row>
    <row r="5" spans="1:9" x14ac:dyDescent="0.35">
      <c r="A5" t="s">
        <v>25</v>
      </c>
      <c r="B5" t="str">
        <f>"9780203010938"</f>
        <v>9780203010938</v>
      </c>
      <c r="C5" t="s">
        <v>30</v>
      </c>
      <c r="D5" t="s">
        <v>27</v>
      </c>
      <c r="E5" t="s">
        <v>9</v>
      </c>
      <c r="F5" t="s">
        <v>26</v>
      </c>
      <c r="H5" t="s">
        <v>28</v>
      </c>
      <c r="I5" t="s">
        <v>29</v>
      </c>
    </row>
    <row r="6" spans="1:9" x14ac:dyDescent="0.35">
      <c r="A6" t="s">
        <v>31</v>
      </c>
      <c r="B6" t="str">
        <f>"9780203053041"</f>
        <v>9780203053041</v>
      </c>
      <c r="C6" t="s">
        <v>35</v>
      </c>
      <c r="D6" t="s">
        <v>33</v>
      </c>
      <c r="E6" t="s">
        <v>9</v>
      </c>
      <c r="F6" t="s">
        <v>32</v>
      </c>
      <c r="H6" t="s">
        <v>11</v>
      </c>
      <c r="I6" t="s">
        <v>34</v>
      </c>
    </row>
    <row r="7" spans="1:9" x14ac:dyDescent="0.35">
      <c r="A7" t="s">
        <v>36</v>
      </c>
      <c r="B7" t="str">
        <f>"9780203425763"</f>
        <v>9780203425763</v>
      </c>
      <c r="C7" t="s">
        <v>40</v>
      </c>
      <c r="D7" t="s">
        <v>37</v>
      </c>
      <c r="E7" t="s">
        <v>9</v>
      </c>
      <c r="H7" t="s">
        <v>38</v>
      </c>
      <c r="I7" t="s">
        <v>39</v>
      </c>
    </row>
    <row r="8" spans="1:9" x14ac:dyDescent="0.35">
      <c r="A8" t="s">
        <v>41</v>
      </c>
      <c r="B8" t="str">
        <f>"9780203508671"</f>
        <v>9780203508671</v>
      </c>
      <c r="C8" t="s">
        <v>45</v>
      </c>
      <c r="D8" t="s">
        <v>43</v>
      </c>
      <c r="E8" t="s">
        <v>9</v>
      </c>
      <c r="F8" t="s">
        <v>42</v>
      </c>
      <c r="H8" t="s">
        <v>22</v>
      </c>
      <c r="I8" t="s">
        <v>44</v>
      </c>
    </row>
    <row r="9" spans="1:9" x14ac:dyDescent="0.35">
      <c r="A9" t="s">
        <v>46</v>
      </c>
      <c r="B9" t="str">
        <f>"9780203420409"</f>
        <v>9780203420409</v>
      </c>
      <c r="C9" t="s">
        <v>50</v>
      </c>
      <c r="D9" t="s">
        <v>48</v>
      </c>
      <c r="E9" t="s">
        <v>9</v>
      </c>
      <c r="F9" t="s">
        <v>47</v>
      </c>
      <c r="H9" t="s">
        <v>22</v>
      </c>
      <c r="I9" t="s">
        <v>49</v>
      </c>
    </row>
    <row r="10" spans="1:9" x14ac:dyDescent="0.35">
      <c r="A10" t="s">
        <v>51</v>
      </c>
      <c r="B10" t="str">
        <f>"9780203561584"</f>
        <v>9780203561584</v>
      </c>
      <c r="C10" t="s">
        <v>54</v>
      </c>
      <c r="D10" t="s">
        <v>52</v>
      </c>
      <c r="E10" t="s">
        <v>9</v>
      </c>
      <c r="H10" t="s">
        <v>22</v>
      </c>
      <c r="I10" t="s">
        <v>53</v>
      </c>
    </row>
    <row r="11" spans="1:9" x14ac:dyDescent="0.35">
      <c r="A11" t="s">
        <v>55</v>
      </c>
      <c r="B11" t="str">
        <f>"9780203341988"</f>
        <v>9780203341988</v>
      </c>
      <c r="C11" t="s">
        <v>60</v>
      </c>
      <c r="D11" t="s">
        <v>57</v>
      </c>
      <c r="E11" t="s">
        <v>9</v>
      </c>
      <c r="F11" t="s">
        <v>56</v>
      </c>
      <c r="H11" t="s">
        <v>58</v>
      </c>
      <c r="I11" t="s">
        <v>59</v>
      </c>
    </row>
    <row r="12" spans="1:9" x14ac:dyDescent="0.35">
      <c r="A12" t="s">
        <v>61</v>
      </c>
      <c r="B12" t="str">
        <f>"9780203358269"</f>
        <v>9780203358269</v>
      </c>
      <c r="C12" t="s">
        <v>66</v>
      </c>
      <c r="D12" t="s">
        <v>63</v>
      </c>
      <c r="E12" t="s">
        <v>9</v>
      </c>
      <c r="F12" t="s">
        <v>62</v>
      </c>
      <c r="H12" t="s">
        <v>64</v>
      </c>
      <c r="I12" t="s">
        <v>65</v>
      </c>
    </row>
    <row r="13" spans="1:9" x14ac:dyDescent="0.35">
      <c r="A13" t="s">
        <v>67</v>
      </c>
      <c r="B13" t="str">
        <f>"9780203799918"</f>
        <v>9780203799918</v>
      </c>
      <c r="C13" t="s">
        <v>72</v>
      </c>
      <c r="D13" t="s">
        <v>69</v>
      </c>
      <c r="E13" t="s">
        <v>9</v>
      </c>
      <c r="F13" t="s">
        <v>68</v>
      </c>
      <c r="H13" t="s">
        <v>70</v>
      </c>
      <c r="I13" t="s">
        <v>71</v>
      </c>
    </row>
    <row r="14" spans="1:9" x14ac:dyDescent="0.35">
      <c r="A14" t="s">
        <v>73</v>
      </c>
      <c r="B14" t="str">
        <f>"9780203642207"</f>
        <v>9780203642207</v>
      </c>
      <c r="C14" t="s">
        <v>77</v>
      </c>
      <c r="D14" t="s">
        <v>74</v>
      </c>
      <c r="E14" t="s">
        <v>9</v>
      </c>
      <c r="H14" t="s">
        <v>75</v>
      </c>
      <c r="I14" t="s">
        <v>76</v>
      </c>
    </row>
    <row r="15" spans="1:9" x14ac:dyDescent="0.35">
      <c r="A15" t="s">
        <v>78</v>
      </c>
      <c r="B15" t="str">
        <f>"9780203503515"</f>
        <v>9780203503515</v>
      </c>
      <c r="C15" t="s">
        <v>82</v>
      </c>
      <c r="D15" t="s">
        <v>80</v>
      </c>
      <c r="E15" t="s">
        <v>9</v>
      </c>
      <c r="F15" t="s">
        <v>79</v>
      </c>
      <c r="H15" t="s">
        <v>38</v>
      </c>
      <c r="I15" t="s">
        <v>81</v>
      </c>
    </row>
    <row r="16" spans="1:9" x14ac:dyDescent="0.35">
      <c r="A16" t="s">
        <v>83</v>
      </c>
      <c r="B16" t="str">
        <f>"9780520937956"</f>
        <v>9780520937956</v>
      </c>
      <c r="C16" t="s">
        <v>88</v>
      </c>
      <c r="D16" t="s">
        <v>85</v>
      </c>
      <c r="E16" t="s">
        <v>84</v>
      </c>
      <c r="H16" t="s">
        <v>86</v>
      </c>
      <c r="I16" t="s">
        <v>87</v>
      </c>
    </row>
    <row r="17" spans="1:9" x14ac:dyDescent="0.35">
      <c r="A17" t="s">
        <v>89</v>
      </c>
      <c r="B17" t="str">
        <f>"9780520937055"</f>
        <v>9780520937055</v>
      </c>
      <c r="C17" t="s">
        <v>92</v>
      </c>
      <c r="D17" t="s">
        <v>90</v>
      </c>
      <c r="E17" t="s">
        <v>84</v>
      </c>
      <c r="H17" t="s">
        <v>22</v>
      </c>
      <c r="I17" t="s">
        <v>91</v>
      </c>
    </row>
    <row r="18" spans="1:9" x14ac:dyDescent="0.35">
      <c r="A18" t="s">
        <v>93</v>
      </c>
      <c r="B18" t="str">
        <f>"9780520930667"</f>
        <v>9780520930667</v>
      </c>
      <c r="C18" t="s">
        <v>96</v>
      </c>
      <c r="D18" t="s">
        <v>94</v>
      </c>
      <c r="E18" t="s">
        <v>84</v>
      </c>
      <c r="H18" t="s">
        <v>11</v>
      </c>
      <c r="I18" t="s">
        <v>95</v>
      </c>
    </row>
    <row r="19" spans="1:9" x14ac:dyDescent="0.35">
      <c r="A19" t="s">
        <v>97</v>
      </c>
      <c r="B19" t="str">
        <f>"9780520937413"</f>
        <v>9780520937413</v>
      </c>
      <c r="C19" t="s">
        <v>100</v>
      </c>
      <c r="D19" t="s">
        <v>98</v>
      </c>
      <c r="E19" t="s">
        <v>84</v>
      </c>
      <c r="H19" t="s">
        <v>22</v>
      </c>
      <c r="I19" t="s">
        <v>99</v>
      </c>
    </row>
    <row r="20" spans="1:9" x14ac:dyDescent="0.35">
      <c r="A20" t="s">
        <v>101</v>
      </c>
      <c r="B20" t="str">
        <f>"9780520930049"</f>
        <v>9780520930049</v>
      </c>
      <c r="C20" t="s">
        <v>104</v>
      </c>
      <c r="D20" t="s">
        <v>102</v>
      </c>
      <c r="E20" t="s">
        <v>84</v>
      </c>
      <c r="H20" t="s">
        <v>22</v>
      </c>
      <c r="I20" t="s">
        <v>103</v>
      </c>
    </row>
    <row r="21" spans="1:9" x14ac:dyDescent="0.35">
      <c r="A21" t="s">
        <v>105</v>
      </c>
      <c r="B21" t="str">
        <f>"9780520921740"</f>
        <v>9780520921740</v>
      </c>
      <c r="C21" t="s">
        <v>108</v>
      </c>
      <c r="D21" t="s">
        <v>106</v>
      </c>
      <c r="E21" t="s">
        <v>84</v>
      </c>
      <c r="H21" t="s">
        <v>86</v>
      </c>
      <c r="I21" t="s">
        <v>107</v>
      </c>
    </row>
    <row r="22" spans="1:9" x14ac:dyDescent="0.35">
      <c r="A22" t="s">
        <v>109</v>
      </c>
      <c r="B22" t="str">
        <f>"9780253111036"</f>
        <v>9780253111036</v>
      </c>
      <c r="C22" t="s">
        <v>113</v>
      </c>
      <c r="D22" t="s">
        <v>111</v>
      </c>
      <c r="E22" t="s">
        <v>110</v>
      </c>
      <c r="H22" t="s">
        <v>11</v>
      </c>
      <c r="I22" t="s">
        <v>112</v>
      </c>
    </row>
    <row r="23" spans="1:9" x14ac:dyDescent="0.35">
      <c r="A23" t="s">
        <v>114</v>
      </c>
      <c r="B23" t="str">
        <f>"9780203391303"</f>
        <v>9780203391303</v>
      </c>
      <c r="C23" t="s">
        <v>118</v>
      </c>
      <c r="D23" t="s">
        <v>115</v>
      </c>
      <c r="E23" t="s">
        <v>9</v>
      </c>
      <c r="H23" t="s">
        <v>116</v>
      </c>
      <c r="I23" t="s">
        <v>117</v>
      </c>
    </row>
    <row r="24" spans="1:9" x14ac:dyDescent="0.35">
      <c r="A24" t="s">
        <v>119</v>
      </c>
      <c r="B24" t="str">
        <f>"9780203698921"</f>
        <v>9780203698921</v>
      </c>
      <c r="C24" t="s">
        <v>123</v>
      </c>
      <c r="D24" t="s">
        <v>121</v>
      </c>
      <c r="E24" t="s">
        <v>9</v>
      </c>
      <c r="F24" t="s">
        <v>120</v>
      </c>
      <c r="H24" t="s">
        <v>22</v>
      </c>
      <c r="I24" t="s">
        <v>122</v>
      </c>
    </row>
    <row r="25" spans="1:9" x14ac:dyDescent="0.35">
      <c r="A25" t="s">
        <v>124</v>
      </c>
      <c r="B25" t="str">
        <f>"9780203346839"</f>
        <v>9780203346839</v>
      </c>
      <c r="C25" t="s">
        <v>128</v>
      </c>
      <c r="D25" t="s">
        <v>126</v>
      </c>
      <c r="E25" t="s">
        <v>9</v>
      </c>
      <c r="F25" t="s">
        <v>125</v>
      </c>
      <c r="H25" t="s">
        <v>22</v>
      </c>
      <c r="I25" t="s">
        <v>127</v>
      </c>
    </row>
    <row r="26" spans="1:9" x14ac:dyDescent="0.35">
      <c r="A26" t="s">
        <v>129</v>
      </c>
      <c r="B26" t="str">
        <f>"9781412933872"</f>
        <v>9781412933872</v>
      </c>
      <c r="C26" t="s">
        <v>134</v>
      </c>
      <c r="D26" t="s">
        <v>132</v>
      </c>
      <c r="E26" t="s">
        <v>130</v>
      </c>
      <c r="F26" t="s">
        <v>131</v>
      </c>
      <c r="H26" t="s">
        <v>22</v>
      </c>
      <c r="I26" t="s">
        <v>133</v>
      </c>
    </row>
    <row r="27" spans="1:9" x14ac:dyDescent="0.35">
      <c r="A27" t="s">
        <v>135</v>
      </c>
      <c r="B27" t="str">
        <f>"9781410611680"</f>
        <v>9781410611680</v>
      </c>
      <c r="C27" t="s">
        <v>140</v>
      </c>
      <c r="D27" t="s">
        <v>137</v>
      </c>
      <c r="E27" t="s">
        <v>9</v>
      </c>
      <c r="F27" t="s">
        <v>136</v>
      </c>
      <c r="H27" t="s">
        <v>138</v>
      </c>
      <c r="I27" t="s">
        <v>139</v>
      </c>
    </row>
    <row r="28" spans="1:9" x14ac:dyDescent="0.35">
      <c r="A28" t="s">
        <v>141</v>
      </c>
      <c r="B28" t="str">
        <f>"9780203030554"</f>
        <v>9780203030554</v>
      </c>
      <c r="C28" t="s">
        <v>144</v>
      </c>
      <c r="D28" t="s">
        <v>142</v>
      </c>
      <c r="E28" t="s">
        <v>9</v>
      </c>
      <c r="H28" t="s">
        <v>22</v>
      </c>
      <c r="I28" t="s">
        <v>143</v>
      </c>
    </row>
    <row r="29" spans="1:9" x14ac:dyDescent="0.35">
      <c r="A29" t="s">
        <v>145</v>
      </c>
      <c r="B29" t="str">
        <f>"9780203567128"</f>
        <v>9780203567128</v>
      </c>
      <c r="C29" t="s">
        <v>149</v>
      </c>
      <c r="D29" t="s">
        <v>146</v>
      </c>
      <c r="E29" t="s">
        <v>9</v>
      </c>
      <c r="H29" t="s">
        <v>147</v>
      </c>
      <c r="I29" t="s">
        <v>148</v>
      </c>
    </row>
    <row r="30" spans="1:9" x14ac:dyDescent="0.35">
      <c r="A30" t="s">
        <v>150</v>
      </c>
      <c r="B30" t="str">
        <f>"9780748626397"</f>
        <v>9780748626397</v>
      </c>
      <c r="C30" t="s">
        <v>155</v>
      </c>
      <c r="D30" t="s">
        <v>152</v>
      </c>
      <c r="E30" t="s">
        <v>151</v>
      </c>
      <c r="H30" t="s">
        <v>153</v>
      </c>
      <c r="I30" t="s">
        <v>154</v>
      </c>
    </row>
    <row r="31" spans="1:9" x14ac:dyDescent="0.35">
      <c r="A31" t="s">
        <v>156</v>
      </c>
      <c r="B31" t="str">
        <f>"9780520939196"</f>
        <v>9780520939196</v>
      </c>
      <c r="C31" t="s">
        <v>160</v>
      </c>
      <c r="D31" t="s">
        <v>157</v>
      </c>
      <c r="E31" t="s">
        <v>84</v>
      </c>
      <c r="H31" t="s">
        <v>158</v>
      </c>
      <c r="I31" t="s">
        <v>159</v>
      </c>
    </row>
    <row r="32" spans="1:9" x14ac:dyDescent="0.35">
      <c r="A32" t="s">
        <v>161</v>
      </c>
      <c r="B32" t="str">
        <f>"9780253111388"</f>
        <v>9780253111388</v>
      </c>
      <c r="C32" t="s">
        <v>165</v>
      </c>
      <c r="D32" t="s">
        <v>162</v>
      </c>
      <c r="E32" t="s">
        <v>110</v>
      </c>
      <c r="H32" t="s">
        <v>163</v>
      </c>
      <c r="I32" t="s">
        <v>164</v>
      </c>
    </row>
    <row r="33" spans="1:9" x14ac:dyDescent="0.35">
      <c r="A33" t="s">
        <v>166</v>
      </c>
      <c r="B33" t="str">
        <f>"9780195345728"</f>
        <v>9780195345728</v>
      </c>
      <c r="C33" t="s">
        <v>172</v>
      </c>
      <c r="D33" t="s">
        <v>169</v>
      </c>
      <c r="E33" t="s">
        <v>167</v>
      </c>
      <c r="F33" t="s">
        <v>168</v>
      </c>
      <c r="H33" t="s">
        <v>170</v>
      </c>
      <c r="I33" t="s">
        <v>171</v>
      </c>
    </row>
    <row r="34" spans="1:9" x14ac:dyDescent="0.35">
      <c r="A34" t="s">
        <v>173</v>
      </c>
      <c r="B34" t="str">
        <f>"9781410617361"</f>
        <v>9781410617361</v>
      </c>
      <c r="C34" t="s">
        <v>177</v>
      </c>
      <c r="D34" t="s">
        <v>175</v>
      </c>
      <c r="E34" t="s">
        <v>9</v>
      </c>
      <c r="F34" t="s">
        <v>174</v>
      </c>
      <c r="H34" t="s">
        <v>22</v>
      </c>
      <c r="I34" t="s">
        <v>176</v>
      </c>
    </row>
    <row r="35" spans="1:9" x14ac:dyDescent="0.35">
      <c r="A35" t="s">
        <v>178</v>
      </c>
      <c r="B35" t="str">
        <f>"9780253111937"</f>
        <v>9780253111937</v>
      </c>
      <c r="C35" t="s">
        <v>181</v>
      </c>
      <c r="D35" t="s">
        <v>179</v>
      </c>
      <c r="E35" t="s">
        <v>110</v>
      </c>
      <c r="H35" t="s">
        <v>38</v>
      </c>
      <c r="I35" t="s">
        <v>180</v>
      </c>
    </row>
    <row r="36" spans="1:9" x14ac:dyDescent="0.35">
      <c r="A36" t="s">
        <v>182</v>
      </c>
      <c r="B36" t="str">
        <f>"9780253112019"</f>
        <v>9780253112019</v>
      </c>
      <c r="C36" t="s">
        <v>185</v>
      </c>
      <c r="D36" t="s">
        <v>183</v>
      </c>
      <c r="E36" t="s">
        <v>110</v>
      </c>
      <c r="H36" t="s">
        <v>22</v>
      </c>
      <c r="I36" t="s">
        <v>184</v>
      </c>
    </row>
    <row r="37" spans="1:9" x14ac:dyDescent="0.35">
      <c r="A37" t="s">
        <v>186</v>
      </c>
      <c r="B37" t="str">
        <f>"9780520939141"</f>
        <v>9780520939141</v>
      </c>
      <c r="C37" t="s">
        <v>189</v>
      </c>
      <c r="D37" t="s">
        <v>187</v>
      </c>
      <c r="E37" t="s">
        <v>84</v>
      </c>
      <c r="H37" t="s">
        <v>22</v>
      </c>
      <c r="I37" t="s">
        <v>188</v>
      </c>
    </row>
    <row r="38" spans="1:9" x14ac:dyDescent="0.35">
      <c r="A38" t="s">
        <v>190</v>
      </c>
      <c r="B38" t="str">
        <f>"9780253112118"</f>
        <v>9780253112118</v>
      </c>
      <c r="C38" t="s">
        <v>193</v>
      </c>
      <c r="D38" t="s">
        <v>191</v>
      </c>
      <c r="E38" t="s">
        <v>110</v>
      </c>
      <c r="H38" t="s">
        <v>22</v>
      </c>
      <c r="I38" t="s">
        <v>192</v>
      </c>
    </row>
    <row r="39" spans="1:9" x14ac:dyDescent="0.35">
      <c r="A39" t="s">
        <v>194</v>
      </c>
      <c r="B39" t="str">
        <f>"9781846422355"</f>
        <v>9781846422355</v>
      </c>
      <c r="C39" t="s">
        <v>199</v>
      </c>
      <c r="D39" t="s">
        <v>196</v>
      </c>
      <c r="E39" t="s">
        <v>195</v>
      </c>
      <c r="H39" t="s">
        <v>197</v>
      </c>
      <c r="I39" t="s">
        <v>198</v>
      </c>
    </row>
    <row r="40" spans="1:9" x14ac:dyDescent="0.35">
      <c r="A40" t="s">
        <v>200</v>
      </c>
      <c r="B40" t="str">
        <f>"9780335226481"</f>
        <v>9780335226481</v>
      </c>
      <c r="C40" t="s">
        <v>206</v>
      </c>
      <c r="D40" t="s">
        <v>203</v>
      </c>
      <c r="E40" t="s">
        <v>201</v>
      </c>
      <c r="F40" t="s">
        <v>202</v>
      </c>
      <c r="H40" t="s">
        <v>204</v>
      </c>
      <c r="I40" t="s">
        <v>205</v>
      </c>
    </row>
    <row r="41" spans="1:9" x14ac:dyDescent="0.35">
      <c r="A41" t="s">
        <v>207</v>
      </c>
      <c r="B41" t="str">
        <f>"9780335226351"</f>
        <v>9780335226351</v>
      </c>
      <c r="C41" t="s">
        <v>211</v>
      </c>
      <c r="D41" t="s">
        <v>208</v>
      </c>
      <c r="E41" t="s">
        <v>201</v>
      </c>
      <c r="F41" t="s">
        <v>202</v>
      </c>
      <c r="H41" t="s">
        <v>209</v>
      </c>
      <c r="I41" t="s">
        <v>210</v>
      </c>
    </row>
    <row r="42" spans="1:9" x14ac:dyDescent="0.35">
      <c r="A42" t="s">
        <v>212</v>
      </c>
      <c r="B42" t="str">
        <f>"9780748629497"</f>
        <v>9780748629497</v>
      </c>
      <c r="C42" t="s">
        <v>216</v>
      </c>
      <c r="D42" t="s">
        <v>214</v>
      </c>
      <c r="E42" t="s">
        <v>151</v>
      </c>
      <c r="F42" t="s">
        <v>213</v>
      </c>
      <c r="H42" t="s">
        <v>22</v>
      </c>
      <c r="I42" t="s">
        <v>215</v>
      </c>
    </row>
    <row r="43" spans="1:9" x14ac:dyDescent="0.35">
      <c r="A43" t="s">
        <v>217</v>
      </c>
      <c r="B43" t="str">
        <f>"9780335228324"</f>
        <v>9780335228324</v>
      </c>
      <c r="C43" t="s">
        <v>220</v>
      </c>
      <c r="D43" t="s">
        <v>218</v>
      </c>
      <c r="E43" t="s">
        <v>201</v>
      </c>
      <c r="F43" t="s">
        <v>202</v>
      </c>
      <c r="H43" t="s">
        <v>209</v>
      </c>
      <c r="I43" t="s">
        <v>219</v>
      </c>
    </row>
    <row r="44" spans="1:9" x14ac:dyDescent="0.35">
      <c r="A44" t="s">
        <v>221</v>
      </c>
      <c r="B44" t="str">
        <f>"9780253112187"</f>
        <v>9780253112187</v>
      </c>
      <c r="C44" t="s">
        <v>224</v>
      </c>
      <c r="D44" t="s">
        <v>222</v>
      </c>
      <c r="E44" t="s">
        <v>110</v>
      </c>
      <c r="H44" t="s">
        <v>22</v>
      </c>
      <c r="I44" t="s">
        <v>223</v>
      </c>
    </row>
    <row r="45" spans="1:9" x14ac:dyDescent="0.35">
      <c r="A45" t="s">
        <v>225</v>
      </c>
      <c r="B45" t="str">
        <f>"9781897414989"</f>
        <v>9781897414989</v>
      </c>
      <c r="C45" t="s">
        <v>229</v>
      </c>
      <c r="D45" t="s">
        <v>227</v>
      </c>
      <c r="E45" t="s">
        <v>226</v>
      </c>
      <c r="H45" t="s">
        <v>22</v>
      </c>
      <c r="I45" t="s">
        <v>228</v>
      </c>
    </row>
    <row r="46" spans="1:9" x14ac:dyDescent="0.35">
      <c r="A46" t="s">
        <v>230</v>
      </c>
      <c r="B46" t="str">
        <f>"9781403979605"</f>
        <v>9781403979605</v>
      </c>
      <c r="C46" t="s">
        <v>234</v>
      </c>
      <c r="D46" t="s">
        <v>232</v>
      </c>
      <c r="E46" t="s">
        <v>231</v>
      </c>
      <c r="H46" t="s">
        <v>22</v>
      </c>
      <c r="I46" t="s">
        <v>233</v>
      </c>
    </row>
    <row r="47" spans="1:9" x14ac:dyDescent="0.35">
      <c r="A47" t="s">
        <v>235</v>
      </c>
      <c r="B47" t="str">
        <f>"9781403979131"</f>
        <v>9781403979131</v>
      </c>
      <c r="C47" t="s">
        <v>239</v>
      </c>
      <c r="D47" t="s">
        <v>236</v>
      </c>
      <c r="E47" t="s">
        <v>231</v>
      </c>
      <c r="H47" t="s">
        <v>237</v>
      </c>
      <c r="I47" t="s">
        <v>238</v>
      </c>
    </row>
    <row r="48" spans="1:9" x14ac:dyDescent="0.35">
      <c r="A48" t="s">
        <v>240</v>
      </c>
      <c r="B48" t="str">
        <f>"9780230604162"</f>
        <v>9780230604162</v>
      </c>
      <c r="C48" t="s">
        <v>243</v>
      </c>
      <c r="D48" t="s">
        <v>241</v>
      </c>
      <c r="E48" t="s">
        <v>231</v>
      </c>
      <c r="H48" t="s">
        <v>22</v>
      </c>
      <c r="I48" t="s">
        <v>242</v>
      </c>
    </row>
    <row r="49" spans="1:9" x14ac:dyDescent="0.35">
      <c r="A49" t="s">
        <v>244</v>
      </c>
      <c r="B49" t="str">
        <f>"9781403978516"</f>
        <v>9781403978516</v>
      </c>
      <c r="C49" t="s">
        <v>247</v>
      </c>
      <c r="D49" t="s">
        <v>245</v>
      </c>
      <c r="E49" t="s">
        <v>231</v>
      </c>
      <c r="H49" t="s">
        <v>147</v>
      </c>
      <c r="I49" t="s">
        <v>246</v>
      </c>
    </row>
    <row r="50" spans="1:9" x14ac:dyDescent="0.35">
      <c r="A50" t="s">
        <v>248</v>
      </c>
      <c r="B50" t="str">
        <f>"9780230604858"</f>
        <v>9780230604858</v>
      </c>
      <c r="C50" t="s">
        <v>252</v>
      </c>
      <c r="D50" t="s">
        <v>249</v>
      </c>
      <c r="E50" t="s">
        <v>231</v>
      </c>
      <c r="H50" t="s">
        <v>250</v>
      </c>
      <c r="I50" t="s">
        <v>251</v>
      </c>
    </row>
    <row r="51" spans="1:9" x14ac:dyDescent="0.35">
      <c r="A51" t="s">
        <v>253</v>
      </c>
      <c r="B51" t="str">
        <f>"9781403979148"</f>
        <v>9781403979148</v>
      </c>
      <c r="C51" t="s">
        <v>256</v>
      </c>
      <c r="D51" t="s">
        <v>254</v>
      </c>
      <c r="E51" t="s">
        <v>231</v>
      </c>
      <c r="H51" t="s">
        <v>75</v>
      </c>
      <c r="I51" t="s">
        <v>255</v>
      </c>
    </row>
    <row r="52" spans="1:9" x14ac:dyDescent="0.35">
      <c r="A52" t="s">
        <v>257</v>
      </c>
      <c r="B52" t="str">
        <f>"9781403983664"</f>
        <v>9781403983664</v>
      </c>
      <c r="C52" t="s">
        <v>260</v>
      </c>
      <c r="D52" t="s">
        <v>258</v>
      </c>
      <c r="E52" t="s">
        <v>231</v>
      </c>
      <c r="H52" t="s">
        <v>22</v>
      </c>
      <c r="I52" t="s">
        <v>259</v>
      </c>
    </row>
    <row r="53" spans="1:9" x14ac:dyDescent="0.35">
      <c r="A53" t="s">
        <v>261</v>
      </c>
      <c r="B53" t="str">
        <f>"9781403977113"</f>
        <v>9781403977113</v>
      </c>
      <c r="C53" t="s">
        <v>264</v>
      </c>
      <c r="D53" t="s">
        <v>262</v>
      </c>
      <c r="E53" t="s">
        <v>231</v>
      </c>
      <c r="H53" t="s">
        <v>147</v>
      </c>
      <c r="I53" t="s">
        <v>263</v>
      </c>
    </row>
    <row r="54" spans="1:9" x14ac:dyDescent="0.35">
      <c r="A54" t="s">
        <v>265</v>
      </c>
      <c r="B54" t="str">
        <f>"9781403984708"</f>
        <v>9781403984708</v>
      </c>
      <c r="C54" t="s">
        <v>268</v>
      </c>
      <c r="D54" t="s">
        <v>266</v>
      </c>
      <c r="E54" t="s">
        <v>231</v>
      </c>
      <c r="H54" t="s">
        <v>75</v>
      </c>
      <c r="I54" t="s">
        <v>267</v>
      </c>
    </row>
    <row r="55" spans="1:9" x14ac:dyDescent="0.35">
      <c r="A55" t="s">
        <v>269</v>
      </c>
      <c r="B55" t="str">
        <f>"9781403980281"</f>
        <v>9781403980281</v>
      </c>
      <c r="C55" t="s">
        <v>272</v>
      </c>
      <c r="D55" t="s">
        <v>270</v>
      </c>
      <c r="E55" t="s">
        <v>231</v>
      </c>
      <c r="H55" t="s">
        <v>147</v>
      </c>
      <c r="I55" t="s">
        <v>271</v>
      </c>
    </row>
    <row r="56" spans="1:9" x14ac:dyDescent="0.35">
      <c r="A56" t="s">
        <v>273</v>
      </c>
      <c r="B56" t="str">
        <f>"9780230604384"</f>
        <v>9780230604384</v>
      </c>
      <c r="C56" t="s">
        <v>277</v>
      </c>
      <c r="D56" t="s">
        <v>274</v>
      </c>
      <c r="E56" t="s">
        <v>231</v>
      </c>
      <c r="H56" t="s">
        <v>275</v>
      </c>
      <c r="I56" t="s">
        <v>276</v>
      </c>
    </row>
    <row r="57" spans="1:9" x14ac:dyDescent="0.35">
      <c r="A57" t="s">
        <v>278</v>
      </c>
      <c r="B57" t="str">
        <f>"9780230604292"</f>
        <v>9780230604292</v>
      </c>
      <c r="C57" t="s">
        <v>282</v>
      </c>
      <c r="D57" t="s">
        <v>280</v>
      </c>
      <c r="E57" t="s">
        <v>231</v>
      </c>
      <c r="F57" t="s">
        <v>279</v>
      </c>
      <c r="H57" t="s">
        <v>22</v>
      </c>
      <c r="I57" t="s">
        <v>281</v>
      </c>
    </row>
    <row r="58" spans="1:9" x14ac:dyDescent="0.35">
      <c r="A58" t="s">
        <v>283</v>
      </c>
      <c r="B58" t="str">
        <f>"9781403984425"</f>
        <v>9781403984425</v>
      </c>
      <c r="C58" t="s">
        <v>286</v>
      </c>
      <c r="D58" t="s">
        <v>284</v>
      </c>
      <c r="E58" t="s">
        <v>231</v>
      </c>
      <c r="H58" t="s">
        <v>275</v>
      </c>
      <c r="I58" t="s">
        <v>285</v>
      </c>
    </row>
    <row r="59" spans="1:9" x14ac:dyDescent="0.35">
      <c r="A59" t="s">
        <v>287</v>
      </c>
      <c r="B59" t="str">
        <f>"9781403978745"</f>
        <v>9781403978745</v>
      </c>
      <c r="C59" t="s">
        <v>290</v>
      </c>
      <c r="D59" t="s">
        <v>288</v>
      </c>
      <c r="E59" t="s">
        <v>231</v>
      </c>
      <c r="H59" t="s">
        <v>275</v>
      </c>
      <c r="I59" t="s">
        <v>289</v>
      </c>
    </row>
    <row r="60" spans="1:9" x14ac:dyDescent="0.35">
      <c r="A60" t="s">
        <v>291</v>
      </c>
      <c r="B60" t="str">
        <f>"9780230600928"</f>
        <v>9780230600928</v>
      </c>
      <c r="C60" t="s">
        <v>294</v>
      </c>
      <c r="D60" t="s">
        <v>292</v>
      </c>
      <c r="E60" t="s">
        <v>231</v>
      </c>
      <c r="H60" t="s">
        <v>237</v>
      </c>
      <c r="I60" t="s">
        <v>293</v>
      </c>
    </row>
    <row r="61" spans="1:9" x14ac:dyDescent="0.35">
      <c r="A61" t="s">
        <v>295</v>
      </c>
      <c r="B61" t="str">
        <f>"9781403978844"</f>
        <v>9781403978844</v>
      </c>
      <c r="C61" t="s">
        <v>298</v>
      </c>
      <c r="D61" t="s">
        <v>296</v>
      </c>
      <c r="E61" t="s">
        <v>231</v>
      </c>
      <c r="H61" t="s">
        <v>22</v>
      </c>
      <c r="I61" t="s">
        <v>297</v>
      </c>
    </row>
    <row r="62" spans="1:9" x14ac:dyDescent="0.35">
      <c r="A62" t="s">
        <v>299</v>
      </c>
      <c r="B62" t="str">
        <f>"9780230604124"</f>
        <v>9780230604124</v>
      </c>
      <c r="C62" t="s">
        <v>303</v>
      </c>
      <c r="D62" t="s">
        <v>301</v>
      </c>
      <c r="E62" t="s">
        <v>231</v>
      </c>
      <c r="F62" t="s">
        <v>300</v>
      </c>
      <c r="H62" t="s">
        <v>153</v>
      </c>
      <c r="I62" t="s">
        <v>302</v>
      </c>
    </row>
    <row r="63" spans="1:9" x14ac:dyDescent="0.35">
      <c r="A63" t="s">
        <v>304</v>
      </c>
      <c r="B63" t="str">
        <f>"9780816696284"</f>
        <v>9780816696284</v>
      </c>
      <c r="C63" t="s">
        <v>308</v>
      </c>
      <c r="D63" t="s">
        <v>306</v>
      </c>
      <c r="E63" t="s">
        <v>305</v>
      </c>
      <c r="H63" t="s">
        <v>147</v>
      </c>
      <c r="I63" t="s">
        <v>307</v>
      </c>
    </row>
    <row r="64" spans="1:9" x14ac:dyDescent="0.35">
      <c r="A64" t="s">
        <v>309</v>
      </c>
      <c r="B64" t="str">
        <f>"9780816696819"</f>
        <v>9780816696819</v>
      </c>
      <c r="C64" t="s">
        <v>312</v>
      </c>
      <c r="D64" t="s">
        <v>310</v>
      </c>
      <c r="E64" t="s">
        <v>305</v>
      </c>
      <c r="H64" t="s">
        <v>147</v>
      </c>
      <c r="I64" t="s">
        <v>311</v>
      </c>
    </row>
    <row r="65" spans="1:9" x14ac:dyDescent="0.35">
      <c r="A65" t="s">
        <v>313</v>
      </c>
      <c r="B65" t="str">
        <f>"9780816698035"</f>
        <v>9780816698035</v>
      </c>
      <c r="C65" t="s">
        <v>317</v>
      </c>
      <c r="D65" t="s">
        <v>315</v>
      </c>
      <c r="E65" t="s">
        <v>305</v>
      </c>
      <c r="F65" t="s">
        <v>314</v>
      </c>
      <c r="H65" t="s">
        <v>153</v>
      </c>
      <c r="I65" t="s">
        <v>316</v>
      </c>
    </row>
    <row r="66" spans="1:9" x14ac:dyDescent="0.35">
      <c r="A66" t="s">
        <v>318</v>
      </c>
      <c r="B66" t="str">
        <f>"9780803215733"</f>
        <v>9780803215733</v>
      </c>
      <c r="C66" t="s">
        <v>322</v>
      </c>
      <c r="D66" t="s">
        <v>320</v>
      </c>
      <c r="E66" t="s">
        <v>319</v>
      </c>
      <c r="H66" t="s">
        <v>22</v>
      </c>
      <c r="I66" t="s">
        <v>321</v>
      </c>
    </row>
    <row r="67" spans="1:9" x14ac:dyDescent="0.35">
      <c r="A67" t="s">
        <v>323</v>
      </c>
      <c r="B67" t="str">
        <f>"9780520939646"</f>
        <v>9780520939646</v>
      </c>
      <c r="C67" t="s">
        <v>327</v>
      </c>
      <c r="D67" t="s">
        <v>324</v>
      </c>
      <c r="E67" t="s">
        <v>84</v>
      </c>
      <c r="H67" t="s">
        <v>325</v>
      </c>
      <c r="I67" t="s">
        <v>326</v>
      </c>
    </row>
    <row r="68" spans="1:9" x14ac:dyDescent="0.35">
      <c r="A68" t="s">
        <v>328</v>
      </c>
      <c r="B68" t="str">
        <f>"9780335230129"</f>
        <v>9780335230129</v>
      </c>
      <c r="C68" t="s">
        <v>332</v>
      </c>
      <c r="D68" t="s">
        <v>329</v>
      </c>
      <c r="E68" t="s">
        <v>201</v>
      </c>
      <c r="F68" t="s">
        <v>202</v>
      </c>
      <c r="H68" t="s">
        <v>330</v>
      </c>
      <c r="I68" t="s">
        <v>331</v>
      </c>
    </row>
    <row r="69" spans="1:9" x14ac:dyDescent="0.35">
      <c r="A69" t="s">
        <v>333</v>
      </c>
      <c r="B69" t="str">
        <f>"9780816696673"</f>
        <v>9780816696673</v>
      </c>
      <c r="C69" t="s">
        <v>336</v>
      </c>
      <c r="D69" t="s">
        <v>334</v>
      </c>
      <c r="E69" t="s">
        <v>305</v>
      </c>
      <c r="H69" t="s">
        <v>22</v>
      </c>
      <c r="I69" t="s">
        <v>335</v>
      </c>
    </row>
    <row r="70" spans="1:9" x14ac:dyDescent="0.35">
      <c r="A70" t="s">
        <v>337</v>
      </c>
      <c r="B70" t="str">
        <f>"9781598840513"</f>
        <v>9781598840513</v>
      </c>
      <c r="C70" t="s">
        <v>342</v>
      </c>
      <c r="D70" t="s">
        <v>340</v>
      </c>
      <c r="E70" t="s">
        <v>338</v>
      </c>
      <c r="F70" t="s">
        <v>339</v>
      </c>
      <c r="H70" t="s">
        <v>22</v>
      </c>
      <c r="I70" t="s">
        <v>341</v>
      </c>
    </row>
    <row r="71" spans="1:9" x14ac:dyDescent="0.35">
      <c r="A71" t="s">
        <v>343</v>
      </c>
      <c r="B71" t="str">
        <f>"9780253112293"</f>
        <v>9780253112293</v>
      </c>
      <c r="C71" t="s">
        <v>346</v>
      </c>
      <c r="D71" t="s">
        <v>344</v>
      </c>
      <c r="E71" t="s">
        <v>110</v>
      </c>
      <c r="H71" t="s">
        <v>22</v>
      </c>
      <c r="I71" t="s">
        <v>345</v>
      </c>
    </row>
    <row r="72" spans="1:9" x14ac:dyDescent="0.35">
      <c r="A72" t="s">
        <v>347</v>
      </c>
      <c r="B72" t="str">
        <f>"9780816698608"</f>
        <v>9780816698608</v>
      </c>
      <c r="C72" t="s">
        <v>351</v>
      </c>
      <c r="D72" t="s">
        <v>348</v>
      </c>
      <c r="E72" t="s">
        <v>305</v>
      </c>
      <c r="H72" t="s">
        <v>349</v>
      </c>
      <c r="I72" t="s">
        <v>350</v>
      </c>
    </row>
    <row r="73" spans="1:9" x14ac:dyDescent="0.35">
      <c r="A73" t="s">
        <v>352</v>
      </c>
      <c r="B73" t="str">
        <f>"9780816654413"</f>
        <v>9780816654413</v>
      </c>
      <c r="C73" t="s">
        <v>356</v>
      </c>
      <c r="D73" t="s">
        <v>353</v>
      </c>
      <c r="E73" t="s">
        <v>305</v>
      </c>
      <c r="H73" t="s">
        <v>354</v>
      </c>
      <c r="I73" t="s">
        <v>355</v>
      </c>
    </row>
    <row r="74" spans="1:9" x14ac:dyDescent="0.35">
      <c r="A74" t="s">
        <v>357</v>
      </c>
      <c r="B74" t="str">
        <f>"9780816650408"</f>
        <v>9780816650408</v>
      </c>
      <c r="C74" t="s">
        <v>360</v>
      </c>
      <c r="D74" t="s">
        <v>358</v>
      </c>
      <c r="E74" t="s">
        <v>305</v>
      </c>
      <c r="H74" t="s">
        <v>86</v>
      </c>
      <c r="I74" t="s">
        <v>359</v>
      </c>
    </row>
    <row r="75" spans="1:9" x14ac:dyDescent="0.35">
      <c r="A75" t="s">
        <v>361</v>
      </c>
      <c r="B75" t="str">
        <f>"9780816653829"</f>
        <v>9780816653829</v>
      </c>
      <c r="C75" t="s">
        <v>364</v>
      </c>
      <c r="D75" t="s">
        <v>362</v>
      </c>
      <c r="E75" t="s">
        <v>305</v>
      </c>
      <c r="H75" t="s">
        <v>22</v>
      </c>
      <c r="I75" t="s">
        <v>363</v>
      </c>
    </row>
    <row r="76" spans="1:9" x14ac:dyDescent="0.35">
      <c r="A76" t="s">
        <v>365</v>
      </c>
      <c r="B76" t="str">
        <f>"9780813541501"</f>
        <v>9780813541501</v>
      </c>
      <c r="C76" t="s">
        <v>369</v>
      </c>
      <c r="D76" t="s">
        <v>367</v>
      </c>
      <c r="E76" t="s">
        <v>366</v>
      </c>
      <c r="H76" t="s">
        <v>86</v>
      </c>
      <c r="I76" t="s">
        <v>368</v>
      </c>
    </row>
    <row r="77" spans="1:9" x14ac:dyDescent="0.35">
      <c r="A77" t="s">
        <v>370</v>
      </c>
      <c r="B77" t="str">
        <f>"9780335233830"</f>
        <v>9780335233830</v>
      </c>
      <c r="C77" t="s">
        <v>373</v>
      </c>
      <c r="D77" t="s">
        <v>371</v>
      </c>
      <c r="E77" t="s">
        <v>201</v>
      </c>
      <c r="F77" t="s">
        <v>202</v>
      </c>
      <c r="H77" t="s">
        <v>17</v>
      </c>
      <c r="I77" t="s">
        <v>372</v>
      </c>
    </row>
    <row r="78" spans="1:9" x14ac:dyDescent="0.35">
      <c r="A78" t="s">
        <v>374</v>
      </c>
      <c r="B78" t="str">
        <f>"9780335234974"</f>
        <v>9780335234974</v>
      </c>
      <c r="C78" t="s">
        <v>379</v>
      </c>
      <c r="D78" t="s">
        <v>376</v>
      </c>
      <c r="E78" t="s">
        <v>201</v>
      </c>
      <c r="F78" t="s">
        <v>375</v>
      </c>
      <c r="H78" t="s">
        <v>377</v>
      </c>
      <c r="I78" t="s">
        <v>378</v>
      </c>
    </row>
    <row r="79" spans="1:9" x14ac:dyDescent="0.35">
      <c r="A79" t="s">
        <v>380</v>
      </c>
      <c r="B79" t="str">
        <f>"9780335235001"</f>
        <v>9780335235001</v>
      </c>
      <c r="C79" t="s">
        <v>384</v>
      </c>
      <c r="D79" t="s">
        <v>382</v>
      </c>
      <c r="E79" t="s">
        <v>201</v>
      </c>
      <c r="F79" t="s">
        <v>381</v>
      </c>
      <c r="H79" t="s">
        <v>138</v>
      </c>
      <c r="I79" t="s">
        <v>383</v>
      </c>
    </row>
    <row r="80" spans="1:9" x14ac:dyDescent="0.35">
      <c r="A80" t="s">
        <v>385</v>
      </c>
      <c r="B80" t="str">
        <f>"9780335235186"</f>
        <v>9780335235186</v>
      </c>
      <c r="C80" t="s">
        <v>388</v>
      </c>
      <c r="D80" t="s">
        <v>386</v>
      </c>
      <c r="E80" t="s">
        <v>201</v>
      </c>
      <c r="F80" t="s">
        <v>202</v>
      </c>
      <c r="H80" t="s">
        <v>209</v>
      </c>
      <c r="I80" t="s">
        <v>387</v>
      </c>
    </row>
    <row r="81" spans="1:9" x14ac:dyDescent="0.35">
      <c r="A81" t="s">
        <v>389</v>
      </c>
      <c r="B81" t="str">
        <f>"9780511384875"</f>
        <v>9780511384875</v>
      </c>
      <c r="C81" t="s">
        <v>394</v>
      </c>
      <c r="D81" t="s">
        <v>391</v>
      </c>
      <c r="E81" t="s">
        <v>390</v>
      </c>
      <c r="H81" t="s">
        <v>392</v>
      </c>
      <c r="I81" t="s">
        <v>393</v>
      </c>
    </row>
    <row r="82" spans="1:9" x14ac:dyDescent="0.35">
      <c r="A82" t="s">
        <v>395</v>
      </c>
      <c r="B82" t="str">
        <f>"9780511384455"</f>
        <v>9780511384455</v>
      </c>
      <c r="C82" t="s">
        <v>399</v>
      </c>
      <c r="D82" t="s">
        <v>396</v>
      </c>
      <c r="E82" t="s">
        <v>390</v>
      </c>
      <c r="H82" t="s">
        <v>397</v>
      </c>
      <c r="I82" t="s">
        <v>398</v>
      </c>
    </row>
    <row r="83" spans="1:9" x14ac:dyDescent="0.35">
      <c r="A83" t="s">
        <v>400</v>
      </c>
      <c r="B83" t="str">
        <f>"9781410610249"</f>
        <v>9781410610249</v>
      </c>
      <c r="C83" t="s">
        <v>403</v>
      </c>
      <c r="D83" t="s">
        <v>401</v>
      </c>
      <c r="E83" t="s">
        <v>9</v>
      </c>
      <c r="H83" t="s">
        <v>22</v>
      </c>
      <c r="I83" t="s">
        <v>402</v>
      </c>
    </row>
    <row r="84" spans="1:9" x14ac:dyDescent="0.35">
      <c r="A84" t="s">
        <v>404</v>
      </c>
      <c r="B84" t="str">
        <f>"9780253117045"</f>
        <v>9780253117045</v>
      </c>
      <c r="C84" t="s">
        <v>408</v>
      </c>
      <c r="D84" t="s">
        <v>405</v>
      </c>
      <c r="E84" t="s">
        <v>110</v>
      </c>
      <c r="H84" t="s">
        <v>406</v>
      </c>
      <c r="I84" t="s">
        <v>407</v>
      </c>
    </row>
    <row r="85" spans="1:9" x14ac:dyDescent="0.35">
      <c r="A85" t="s">
        <v>409</v>
      </c>
      <c r="B85" t="str">
        <f>"9780253117076"</f>
        <v>9780253117076</v>
      </c>
      <c r="C85" t="s">
        <v>412</v>
      </c>
      <c r="D85" t="s">
        <v>410</v>
      </c>
      <c r="E85" t="s">
        <v>110</v>
      </c>
      <c r="H85" t="s">
        <v>22</v>
      </c>
      <c r="I85" t="s">
        <v>411</v>
      </c>
    </row>
    <row r="86" spans="1:9" x14ac:dyDescent="0.35">
      <c r="A86" t="s">
        <v>413</v>
      </c>
      <c r="B86" t="str">
        <f>"9780816661053"</f>
        <v>9780816661053</v>
      </c>
      <c r="C86" t="s">
        <v>416</v>
      </c>
      <c r="D86" t="s">
        <v>414</v>
      </c>
      <c r="E86" t="s">
        <v>305</v>
      </c>
      <c r="H86" t="s">
        <v>147</v>
      </c>
      <c r="I86" t="s">
        <v>415</v>
      </c>
    </row>
    <row r="87" spans="1:9" x14ac:dyDescent="0.35">
      <c r="A87" t="s">
        <v>417</v>
      </c>
      <c r="B87" t="str">
        <f>"9780816698981"</f>
        <v>9780816698981</v>
      </c>
      <c r="C87" t="s">
        <v>420</v>
      </c>
      <c r="D87" t="s">
        <v>418</v>
      </c>
      <c r="E87" t="s">
        <v>305</v>
      </c>
      <c r="H87" t="s">
        <v>22</v>
      </c>
      <c r="I87" t="s">
        <v>419</v>
      </c>
    </row>
    <row r="88" spans="1:9" x14ac:dyDescent="0.35">
      <c r="A88" t="s">
        <v>421</v>
      </c>
      <c r="B88" t="str">
        <f>"9780203894637"</f>
        <v>9780203894637</v>
      </c>
      <c r="C88" t="s">
        <v>425</v>
      </c>
      <c r="D88" t="s">
        <v>423</v>
      </c>
      <c r="E88" t="s">
        <v>9</v>
      </c>
      <c r="F88" t="s">
        <v>422</v>
      </c>
      <c r="H88" t="s">
        <v>163</v>
      </c>
      <c r="I88" t="s">
        <v>424</v>
      </c>
    </row>
    <row r="89" spans="1:9" x14ac:dyDescent="0.35">
      <c r="A89" t="s">
        <v>426</v>
      </c>
      <c r="B89" t="str">
        <f>"9780203889350"</f>
        <v>9780203889350</v>
      </c>
      <c r="C89" t="s">
        <v>429</v>
      </c>
      <c r="D89" t="s">
        <v>427</v>
      </c>
      <c r="E89" t="s">
        <v>9</v>
      </c>
      <c r="H89" t="s">
        <v>163</v>
      </c>
      <c r="I89" t="s">
        <v>428</v>
      </c>
    </row>
    <row r="90" spans="1:9" x14ac:dyDescent="0.35">
      <c r="A90" t="s">
        <v>430</v>
      </c>
      <c r="B90" t="str">
        <f>"9780520941618"</f>
        <v>9780520941618</v>
      </c>
      <c r="C90" t="s">
        <v>433</v>
      </c>
      <c r="D90" t="s">
        <v>431</v>
      </c>
      <c r="E90" t="s">
        <v>84</v>
      </c>
      <c r="H90" t="s">
        <v>22</v>
      </c>
      <c r="I90" t="s">
        <v>432</v>
      </c>
    </row>
    <row r="91" spans="1:9" x14ac:dyDescent="0.35">
      <c r="A91" t="s">
        <v>434</v>
      </c>
      <c r="B91" t="str">
        <f>"9780816656646"</f>
        <v>9780816656646</v>
      </c>
      <c r="C91" t="s">
        <v>438</v>
      </c>
      <c r="D91" t="s">
        <v>436</v>
      </c>
      <c r="E91" t="s">
        <v>305</v>
      </c>
      <c r="F91" t="s">
        <v>435</v>
      </c>
      <c r="H91" t="s">
        <v>22</v>
      </c>
      <c r="I91" t="s">
        <v>437</v>
      </c>
    </row>
    <row r="92" spans="1:9" x14ac:dyDescent="0.35">
      <c r="A92" t="s">
        <v>439</v>
      </c>
      <c r="B92" t="str">
        <f>"9781846427602"</f>
        <v>9781846427602</v>
      </c>
      <c r="C92" t="s">
        <v>442</v>
      </c>
      <c r="D92" t="s">
        <v>440</v>
      </c>
      <c r="E92" t="s">
        <v>195</v>
      </c>
      <c r="H92" t="s">
        <v>22</v>
      </c>
      <c r="I92" t="s">
        <v>441</v>
      </c>
    </row>
    <row r="93" spans="1:9" x14ac:dyDescent="0.35">
      <c r="A93" t="s">
        <v>443</v>
      </c>
      <c r="B93" t="str">
        <f>"9780470680575"</f>
        <v>9780470680575</v>
      </c>
      <c r="C93" t="s">
        <v>448</v>
      </c>
      <c r="D93" t="s">
        <v>446</v>
      </c>
      <c r="E93" t="s">
        <v>444</v>
      </c>
      <c r="F93" t="s">
        <v>445</v>
      </c>
      <c r="H93" t="s">
        <v>22</v>
      </c>
      <c r="I93" t="s">
        <v>447</v>
      </c>
    </row>
    <row r="94" spans="1:9" x14ac:dyDescent="0.35">
      <c r="A94" t="s">
        <v>449</v>
      </c>
      <c r="B94" t="str">
        <f>"9780470776766"</f>
        <v>9780470776766</v>
      </c>
      <c r="C94" t="s">
        <v>453</v>
      </c>
      <c r="D94" t="s">
        <v>451</v>
      </c>
      <c r="E94" t="s">
        <v>444</v>
      </c>
      <c r="F94" t="s">
        <v>450</v>
      </c>
      <c r="H94" t="s">
        <v>22</v>
      </c>
      <c r="I94" t="s">
        <v>452</v>
      </c>
    </row>
    <row r="95" spans="1:9" x14ac:dyDescent="0.35">
      <c r="A95" t="s">
        <v>454</v>
      </c>
      <c r="B95" t="str">
        <f>"9781848604551"</f>
        <v>9781848604551</v>
      </c>
      <c r="C95" t="s">
        <v>457</v>
      </c>
      <c r="D95" t="s">
        <v>455</v>
      </c>
      <c r="E95" t="s">
        <v>130</v>
      </c>
      <c r="H95" t="s">
        <v>138</v>
      </c>
      <c r="I95" t="s">
        <v>456</v>
      </c>
    </row>
    <row r="96" spans="1:9" x14ac:dyDescent="0.35">
      <c r="A96" t="s">
        <v>458</v>
      </c>
      <c r="B96" t="str">
        <f>"9781848605077"</f>
        <v>9781848605077</v>
      </c>
      <c r="C96" t="s">
        <v>462</v>
      </c>
      <c r="D96" t="s">
        <v>459</v>
      </c>
      <c r="E96" t="s">
        <v>130</v>
      </c>
      <c r="H96" t="s">
        <v>460</v>
      </c>
      <c r="I96" t="s">
        <v>461</v>
      </c>
    </row>
    <row r="97" spans="1:9" x14ac:dyDescent="0.35">
      <c r="A97" t="s">
        <v>463</v>
      </c>
      <c r="B97" t="str">
        <f>"9781848605633"</f>
        <v>9781848605633</v>
      </c>
      <c r="C97" t="s">
        <v>467</v>
      </c>
      <c r="D97" t="s">
        <v>465</v>
      </c>
      <c r="E97" t="s">
        <v>130</v>
      </c>
      <c r="F97" t="s">
        <v>464</v>
      </c>
      <c r="H97" t="s">
        <v>209</v>
      </c>
      <c r="I97" t="s">
        <v>466</v>
      </c>
    </row>
    <row r="98" spans="1:9" x14ac:dyDescent="0.35">
      <c r="A98" t="s">
        <v>468</v>
      </c>
      <c r="B98" t="str">
        <f>"9780511428142"</f>
        <v>9780511428142</v>
      </c>
      <c r="C98" t="s">
        <v>472</v>
      </c>
      <c r="D98" t="s">
        <v>469</v>
      </c>
      <c r="E98" t="s">
        <v>390</v>
      </c>
      <c r="H98" t="s">
        <v>470</v>
      </c>
      <c r="I98" t="s">
        <v>471</v>
      </c>
    </row>
    <row r="99" spans="1:9" x14ac:dyDescent="0.35">
      <c r="A99" t="s">
        <v>473</v>
      </c>
      <c r="B99" t="str">
        <f>"9780813545554"</f>
        <v>9780813545554</v>
      </c>
      <c r="C99" t="s">
        <v>477</v>
      </c>
      <c r="D99" t="s">
        <v>474</v>
      </c>
      <c r="E99" t="s">
        <v>366</v>
      </c>
      <c r="H99" t="s">
        <v>475</v>
      </c>
      <c r="I99" t="s">
        <v>476</v>
      </c>
    </row>
    <row r="100" spans="1:9" x14ac:dyDescent="0.35">
      <c r="A100" t="s">
        <v>478</v>
      </c>
      <c r="B100" t="str">
        <f>"9781841502519"</f>
        <v>9781841502519</v>
      </c>
      <c r="C100" t="s">
        <v>482</v>
      </c>
      <c r="D100" t="s">
        <v>480</v>
      </c>
      <c r="E100" t="s">
        <v>479</v>
      </c>
      <c r="H100" t="s">
        <v>86</v>
      </c>
      <c r="I100" t="s">
        <v>481</v>
      </c>
    </row>
    <row r="101" spans="1:9" x14ac:dyDescent="0.35">
      <c r="A101" t="s">
        <v>483</v>
      </c>
      <c r="B101" t="str">
        <f>"9780511436314"</f>
        <v>9780511436314</v>
      </c>
      <c r="C101" t="s">
        <v>487</v>
      </c>
      <c r="D101" t="s">
        <v>485</v>
      </c>
      <c r="E101" t="s">
        <v>390</v>
      </c>
      <c r="F101" t="s">
        <v>484</v>
      </c>
      <c r="H101" t="s">
        <v>397</v>
      </c>
      <c r="I101" t="s">
        <v>486</v>
      </c>
    </row>
    <row r="102" spans="1:9" x14ac:dyDescent="0.35">
      <c r="A102" t="s">
        <v>488</v>
      </c>
      <c r="B102" t="str">
        <f>"9780203886380"</f>
        <v>9780203886380</v>
      </c>
      <c r="C102" t="s">
        <v>491</v>
      </c>
      <c r="D102" t="s">
        <v>489</v>
      </c>
      <c r="E102" t="s">
        <v>9</v>
      </c>
      <c r="H102" t="s">
        <v>22</v>
      </c>
      <c r="I102" t="s">
        <v>490</v>
      </c>
    </row>
    <row r="103" spans="1:9" x14ac:dyDescent="0.35">
      <c r="A103" t="s">
        <v>492</v>
      </c>
      <c r="B103" t="str">
        <f>"9781848133426"</f>
        <v>9781848133426</v>
      </c>
      <c r="C103" t="s">
        <v>496</v>
      </c>
      <c r="D103" t="s">
        <v>494</v>
      </c>
      <c r="E103" t="s">
        <v>493</v>
      </c>
      <c r="H103" t="s">
        <v>349</v>
      </c>
      <c r="I103" t="s">
        <v>495</v>
      </c>
    </row>
    <row r="104" spans="1:9" x14ac:dyDescent="0.35">
      <c r="A104" t="s">
        <v>497</v>
      </c>
      <c r="B104" t="str">
        <f>"9780813545790"</f>
        <v>9780813545790</v>
      </c>
      <c r="C104" t="s">
        <v>500</v>
      </c>
      <c r="D104" t="s">
        <v>498</v>
      </c>
      <c r="E104" t="s">
        <v>366</v>
      </c>
      <c r="H104" t="s">
        <v>22</v>
      </c>
      <c r="I104" t="s">
        <v>499</v>
      </c>
    </row>
    <row r="105" spans="1:9" x14ac:dyDescent="0.35">
      <c r="A105" t="s">
        <v>501</v>
      </c>
      <c r="B105" t="str">
        <f>"9783110209402"</f>
        <v>9783110209402</v>
      </c>
      <c r="C105" t="s">
        <v>506</v>
      </c>
      <c r="D105" t="s">
        <v>504</v>
      </c>
      <c r="E105" t="s">
        <v>502</v>
      </c>
      <c r="F105" t="s">
        <v>503</v>
      </c>
      <c r="H105" t="s">
        <v>147</v>
      </c>
      <c r="I105" t="s">
        <v>505</v>
      </c>
    </row>
    <row r="106" spans="1:9" x14ac:dyDescent="0.35">
      <c r="A106" t="s">
        <v>507</v>
      </c>
      <c r="B106" t="str">
        <f>"9780748631797"</f>
        <v>9780748631797</v>
      </c>
      <c r="C106" t="s">
        <v>510</v>
      </c>
      <c r="D106" t="s">
        <v>508</v>
      </c>
      <c r="E106" t="s">
        <v>151</v>
      </c>
      <c r="H106" t="s">
        <v>86</v>
      </c>
      <c r="I106" t="s">
        <v>509</v>
      </c>
    </row>
    <row r="107" spans="1:9" x14ac:dyDescent="0.35">
      <c r="A107" t="s">
        <v>511</v>
      </c>
      <c r="B107" t="str">
        <f>"9780748634194"</f>
        <v>9780748634194</v>
      </c>
      <c r="C107" t="s">
        <v>514</v>
      </c>
      <c r="D107" t="s">
        <v>512</v>
      </c>
      <c r="E107" t="s">
        <v>151</v>
      </c>
      <c r="H107" t="s">
        <v>86</v>
      </c>
      <c r="I107" t="s">
        <v>513</v>
      </c>
    </row>
    <row r="108" spans="1:9" x14ac:dyDescent="0.35">
      <c r="A108" t="s">
        <v>515</v>
      </c>
      <c r="B108" t="str">
        <f>"9781781388174"</f>
        <v>9781781388174</v>
      </c>
      <c r="C108" t="s">
        <v>521</v>
      </c>
      <c r="D108" t="s">
        <v>518</v>
      </c>
      <c r="E108" t="s">
        <v>516</v>
      </c>
      <c r="F108" t="s">
        <v>517</v>
      </c>
      <c r="H108" t="s">
        <v>519</v>
      </c>
      <c r="I108" t="s">
        <v>520</v>
      </c>
    </row>
    <row r="109" spans="1:9" x14ac:dyDescent="0.35">
      <c r="A109" t="s">
        <v>522</v>
      </c>
      <c r="B109" t="str">
        <f>"9781781387979"</f>
        <v>9781781387979</v>
      </c>
      <c r="C109" t="s">
        <v>526</v>
      </c>
      <c r="D109" t="s">
        <v>524</v>
      </c>
      <c r="E109" t="s">
        <v>516</v>
      </c>
      <c r="F109" t="s">
        <v>523</v>
      </c>
      <c r="H109" t="s">
        <v>22</v>
      </c>
      <c r="I109" t="s">
        <v>525</v>
      </c>
    </row>
    <row r="110" spans="1:9" x14ac:dyDescent="0.35">
      <c r="A110" t="s">
        <v>527</v>
      </c>
      <c r="B110" t="str">
        <f>"9781576757833"</f>
        <v>9781576757833</v>
      </c>
      <c r="C110" t="s">
        <v>533</v>
      </c>
      <c r="D110" t="s">
        <v>530</v>
      </c>
      <c r="E110" t="s">
        <v>528</v>
      </c>
      <c r="F110" t="s">
        <v>529</v>
      </c>
      <c r="H110" t="s">
        <v>531</v>
      </c>
      <c r="I110" t="s">
        <v>532</v>
      </c>
    </row>
    <row r="111" spans="1:9" x14ac:dyDescent="0.35">
      <c r="A111" t="s">
        <v>534</v>
      </c>
      <c r="B111" t="str">
        <f>"9780226509600"</f>
        <v>9780226509600</v>
      </c>
      <c r="C111" t="s">
        <v>538</v>
      </c>
      <c r="D111" t="s">
        <v>536</v>
      </c>
      <c r="E111" t="s">
        <v>535</v>
      </c>
      <c r="H111" t="s">
        <v>153</v>
      </c>
      <c r="I111" t="s">
        <v>537</v>
      </c>
    </row>
    <row r="112" spans="1:9" x14ac:dyDescent="0.35">
      <c r="A112" t="s">
        <v>539</v>
      </c>
      <c r="B112" t="str">
        <f>"9780226392028"</f>
        <v>9780226392028</v>
      </c>
      <c r="C112" t="s">
        <v>542</v>
      </c>
      <c r="D112" t="s">
        <v>540</v>
      </c>
      <c r="E112" t="s">
        <v>535</v>
      </c>
      <c r="H112" t="s">
        <v>70</v>
      </c>
      <c r="I112" t="s">
        <v>541</v>
      </c>
    </row>
    <row r="113" spans="1:9" x14ac:dyDescent="0.35">
      <c r="A113" t="s">
        <v>543</v>
      </c>
      <c r="B113" t="str">
        <f>"9780335236763"</f>
        <v>9780335236763</v>
      </c>
      <c r="C113" t="s">
        <v>547</v>
      </c>
      <c r="D113" t="s">
        <v>544</v>
      </c>
      <c r="E113" t="s">
        <v>201</v>
      </c>
      <c r="F113" t="s">
        <v>375</v>
      </c>
      <c r="H113" t="s">
        <v>545</v>
      </c>
      <c r="I113" t="s">
        <v>546</v>
      </c>
    </row>
    <row r="114" spans="1:9" x14ac:dyDescent="0.35">
      <c r="A114" t="s">
        <v>548</v>
      </c>
      <c r="B114" t="str">
        <f>"9780807877104"</f>
        <v>9780807877104</v>
      </c>
      <c r="C114" t="s">
        <v>552</v>
      </c>
      <c r="D114" t="s">
        <v>550</v>
      </c>
      <c r="E114" t="s">
        <v>549</v>
      </c>
      <c r="H114" t="s">
        <v>22</v>
      </c>
      <c r="I114" t="s">
        <v>551</v>
      </c>
    </row>
    <row r="115" spans="1:9" x14ac:dyDescent="0.35">
      <c r="A115" t="s">
        <v>553</v>
      </c>
      <c r="B115" t="str">
        <f>"9780807875940"</f>
        <v>9780807875940</v>
      </c>
      <c r="C115" t="s">
        <v>556</v>
      </c>
      <c r="D115" t="s">
        <v>554</v>
      </c>
      <c r="E115" t="s">
        <v>549</v>
      </c>
      <c r="H115" t="s">
        <v>38</v>
      </c>
      <c r="I115" t="s">
        <v>555</v>
      </c>
    </row>
    <row r="116" spans="1:9" x14ac:dyDescent="0.35">
      <c r="A116" t="s">
        <v>557</v>
      </c>
      <c r="B116" t="str">
        <f>"9780807876688"</f>
        <v>9780807876688</v>
      </c>
      <c r="C116" t="s">
        <v>561</v>
      </c>
      <c r="D116" t="s">
        <v>559</v>
      </c>
      <c r="E116" t="s">
        <v>558</v>
      </c>
      <c r="H116" t="s">
        <v>22</v>
      </c>
      <c r="I116" t="s">
        <v>560</v>
      </c>
    </row>
    <row r="117" spans="1:9" x14ac:dyDescent="0.35">
      <c r="A117" t="s">
        <v>562</v>
      </c>
      <c r="B117" t="str">
        <f>"9780807876251"</f>
        <v>9780807876251</v>
      </c>
      <c r="C117" t="s">
        <v>565</v>
      </c>
      <c r="D117" t="s">
        <v>563</v>
      </c>
      <c r="E117" t="s">
        <v>549</v>
      </c>
      <c r="H117" t="s">
        <v>22</v>
      </c>
      <c r="I117" t="s">
        <v>564</v>
      </c>
    </row>
    <row r="118" spans="1:9" x14ac:dyDescent="0.35">
      <c r="A118" t="s">
        <v>566</v>
      </c>
      <c r="B118" t="str">
        <f>"9780807877029"</f>
        <v>9780807877029</v>
      </c>
      <c r="C118" t="s">
        <v>569</v>
      </c>
      <c r="D118" t="s">
        <v>567</v>
      </c>
      <c r="E118" t="s">
        <v>549</v>
      </c>
      <c r="H118" t="s">
        <v>147</v>
      </c>
      <c r="I118" t="s">
        <v>568</v>
      </c>
    </row>
    <row r="119" spans="1:9" x14ac:dyDescent="0.35">
      <c r="A119" t="s">
        <v>570</v>
      </c>
      <c r="B119" t="str">
        <f>"9780198043607"</f>
        <v>9780198043607</v>
      </c>
      <c r="C119" t="s">
        <v>573</v>
      </c>
      <c r="D119" t="s">
        <v>571</v>
      </c>
      <c r="E119" t="s">
        <v>167</v>
      </c>
      <c r="H119" t="s">
        <v>163</v>
      </c>
      <c r="I119" t="s">
        <v>572</v>
      </c>
    </row>
    <row r="120" spans="1:9" x14ac:dyDescent="0.35">
      <c r="A120" t="s">
        <v>574</v>
      </c>
      <c r="B120" t="str">
        <f>"9780191533662"</f>
        <v>9780191533662</v>
      </c>
      <c r="C120" t="s">
        <v>577</v>
      </c>
      <c r="D120" t="s">
        <v>575</v>
      </c>
      <c r="E120" t="s">
        <v>167</v>
      </c>
      <c r="H120" t="s">
        <v>330</v>
      </c>
      <c r="I120" t="s">
        <v>576</v>
      </c>
    </row>
    <row r="121" spans="1:9" x14ac:dyDescent="0.35">
      <c r="A121" t="s">
        <v>578</v>
      </c>
      <c r="B121" t="str">
        <f>"9780191552519"</f>
        <v>9780191552519</v>
      </c>
      <c r="C121" t="s">
        <v>583</v>
      </c>
      <c r="D121" t="s">
        <v>581</v>
      </c>
      <c r="E121" t="s">
        <v>579</v>
      </c>
      <c r="F121" t="s">
        <v>580</v>
      </c>
      <c r="H121" t="s">
        <v>147</v>
      </c>
      <c r="I121" t="s">
        <v>582</v>
      </c>
    </row>
    <row r="122" spans="1:9" x14ac:dyDescent="0.35">
      <c r="A122" t="s">
        <v>584</v>
      </c>
      <c r="B122" t="str">
        <f>"9780191535611"</f>
        <v>9780191535611</v>
      </c>
      <c r="C122" t="s">
        <v>587</v>
      </c>
      <c r="D122" t="s">
        <v>585</v>
      </c>
      <c r="E122" t="s">
        <v>167</v>
      </c>
      <c r="H122" t="s">
        <v>147</v>
      </c>
      <c r="I122" t="s">
        <v>586</v>
      </c>
    </row>
    <row r="123" spans="1:9" x14ac:dyDescent="0.35">
      <c r="A123" t="s">
        <v>588</v>
      </c>
      <c r="B123" t="str">
        <f>"9780198042181"</f>
        <v>9780198042181</v>
      </c>
      <c r="C123" t="s">
        <v>592</v>
      </c>
      <c r="D123" t="s">
        <v>590</v>
      </c>
      <c r="E123" t="s">
        <v>167</v>
      </c>
      <c r="F123" t="s">
        <v>589</v>
      </c>
      <c r="H123" t="s">
        <v>209</v>
      </c>
      <c r="I123" t="s">
        <v>591</v>
      </c>
    </row>
    <row r="124" spans="1:9" x14ac:dyDescent="0.35">
      <c r="A124" t="s">
        <v>593</v>
      </c>
      <c r="B124" t="str">
        <f>"9780198042556"</f>
        <v>9780198042556</v>
      </c>
      <c r="C124" t="s">
        <v>597</v>
      </c>
      <c r="D124" t="s">
        <v>594</v>
      </c>
      <c r="E124" t="s">
        <v>167</v>
      </c>
      <c r="H124" t="s">
        <v>595</v>
      </c>
      <c r="I124" t="s">
        <v>596</v>
      </c>
    </row>
    <row r="125" spans="1:9" x14ac:dyDescent="0.35">
      <c r="A125" t="s">
        <v>598</v>
      </c>
      <c r="B125" t="str">
        <f>"9780191538247"</f>
        <v>9780191538247</v>
      </c>
      <c r="C125" t="s">
        <v>601</v>
      </c>
      <c r="D125" t="s">
        <v>599</v>
      </c>
      <c r="E125" t="s">
        <v>579</v>
      </c>
      <c r="H125" t="s">
        <v>22</v>
      </c>
      <c r="I125" t="s">
        <v>600</v>
      </c>
    </row>
    <row r="126" spans="1:9" x14ac:dyDescent="0.35">
      <c r="A126" t="s">
        <v>602</v>
      </c>
      <c r="B126" t="str">
        <f>"9780199716777"</f>
        <v>9780199716777</v>
      </c>
      <c r="C126" t="s">
        <v>607</v>
      </c>
      <c r="D126" t="s">
        <v>605</v>
      </c>
      <c r="E126" t="s">
        <v>603</v>
      </c>
      <c r="F126" t="s">
        <v>604</v>
      </c>
      <c r="H126" t="s">
        <v>22</v>
      </c>
      <c r="I126" t="s">
        <v>606</v>
      </c>
    </row>
    <row r="127" spans="1:9" x14ac:dyDescent="0.35">
      <c r="A127" t="s">
        <v>608</v>
      </c>
      <c r="B127" t="str">
        <f>"9781847423412"</f>
        <v>9781847423412</v>
      </c>
      <c r="C127" t="s">
        <v>612</v>
      </c>
      <c r="D127" t="s">
        <v>610</v>
      </c>
      <c r="E127" t="s">
        <v>609</v>
      </c>
      <c r="H127" t="s">
        <v>22</v>
      </c>
      <c r="I127" t="s">
        <v>611</v>
      </c>
    </row>
    <row r="128" spans="1:9" x14ac:dyDescent="0.35">
      <c r="A128" t="s">
        <v>613</v>
      </c>
      <c r="B128" t="str">
        <f>"9781847421593"</f>
        <v>9781847421593</v>
      </c>
      <c r="C128" t="s">
        <v>616</v>
      </c>
      <c r="D128" t="s">
        <v>614</v>
      </c>
      <c r="E128" t="s">
        <v>609</v>
      </c>
      <c r="H128" t="s">
        <v>22</v>
      </c>
      <c r="I128" t="s">
        <v>615</v>
      </c>
    </row>
    <row r="129" spans="1:9" x14ac:dyDescent="0.35">
      <c r="A129" t="s">
        <v>617</v>
      </c>
      <c r="B129" t="str">
        <f>"9781847422552"</f>
        <v>9781847422552</v>
      </c>
      <c r="C129" t="s">
        <v>620</v>
      </c>
      <c r="D129" t="s">
        <v>618</v>
      </c>
      <c r="E129" t="s">
        <v>609</v>
      </c>
      <c r="H129" t="s">
        <v>22</v>
      </c>
      <c r="I129" t="s">
        <v>619</v>
      </c>
    </row>
    <row r="130" spans="1:9" x14ac:dyDescent="0.35">
      <c r="A130" t="s">
        <v>621</v>
      </c>
      <c r="B130" t="str">
        <f>"9789048506323"</f>
        <v>9789048506323</v>
      </c>
      <c r="C130" t="s">
        <v>627</v>
      </c>
      <c r="D130" t="s">
        <v>624</v>
      </c>
      <c r="E130" t="s">
        <v>622</v>
      </c>
      <c r="F130" t="s">
        <v>623</v>
      </c>
      <c r="H130" t="s">
        <v>625</v>
      </c>
      <c r="I130" t="s">
        <v>626</v>
      </c>
    </row>
    <row r="131" spans="1:9" x14ac:dyDescent="0.35">
      <c r="A131" t="s">
        <v>628</v>
      </c>
      <c r="B131" t="str">
        <f>"9781847884565"</f>
        <v>9781847884565</v>
      </c>
      <c r="C131" t="s">
        <v>632</v>
      </c>
      <c r="D131" t="s">
        <v>630</v>
      </c>
      <c r="E131" t="s">
        <v>629</v>
      </c>
      <c r="H131" t="s">
        <v>116</v>
      </c>
      <c r="I131" t="s">
        <v>631</v>
      </c>
    </row>
    <row r="132" spans="1:9" x14ac:dyDescent="0.35">
      <c r="A132" t="s">
        <v>633</v>
      </c>
      <c r="B132" t="str">
        <f>"9780748634064"</f>
        <v>9780748634064</v>
      </c>
      <c r="C132" t="s">
        <v>638</v>
      </c>
      <c r="D132" t="s">
        <v>635</v>
      </c>
      <c r="E132" t="s">
        <v>151</v>
      </c>
      <c r="F132" t="s">
        <v>634</v>
      </c>
      <c r="H132" t="s">
        <v>636</v>
      </c>
      <c r="I132" t="s">
        <v>637</v>
      </c>
    </row>
    <row r="133" spans="1:9" x14ac:dyDescent="0.35">
      <c r="A133" t="s">
        <v>639</v>
      </c>
      <c r="B133" t="str">
        <f>"9780335237609"</f>
        <v>9780335237609</v>
      </c>
      <c r="C133" t="s">
        <v>643</v>
      </c>
      <c r="D133" t="s">
        <v>641</v>
      </c>
      <c r="E133" t="s">
        <v>201</v>
      </c>
      <c r="F133" t="s">
        <v>640</v>
      </c>
      <c r="H133" t="s">
        <v>209</v>
      </c>
      <c r="I133" t="s">
        <v>642</v>
      </c>
    </row>
    <row r="134" spans="1:9" x14ac:dyDescent="0.35">
      <c r="A134" t="s">
        <v>644</v>
      </c>
      <c r="B134" t="str">
        <f>"9780813546513"</f>
        <v>9780813546513</v>
      </c>
      <c r="C134" t="s">
        <v>647</v>
      </c>
      <c r="D134" t="s">
        <v>645</v>
      </c>
      <c r="E134" t="s">
        <v>366</v>
      </c>
      <c r="H134" t="s">
        <v>22</v>
      </c>
      <c r="I134" t="s">
        <v>646</v>
      </c>
    </row>
    <row r="135" spans="1:9" x14ac:dyDescent="0.35">
      <c r="A135" t="s">
        <v>648</v>
      </c>
      <c r="B135" t="str">
        <f>"9780191514975"</f>
        <v>9780191514975</v>
      </c>
      <c r="C135" t="s">
        <v>651</v>
      </c>
      <c r="D135" t="s">
        <v>649</v>
      </c>
      <c r="E135" t="s">
        <v>579</v>
      </c>
      <c r="H135" t="s">
        <v>38</v>
      </c>
      <c r="I135" t="s">
        <v>650</v>
      </c>
    </row>
    <row r="136" spans="1:9" x14ac:dyDescent="0.35">
      <c r="A136" t="s">
        <v>652</v>
      </c>
      <c r="B136" t="str">
        <f>"9780191533020"</f>
        <v>9780191533020</v>
      </c>
      <c r="C136" t="s">
        <v>656</v>
      </c>
      <c r="D136" t="s">
        <v>654</v>
      </c>
      <c r="E136" t="s">
        <v>603</v>
      </c>
      <c r="F136" t="s">
        <v>653</v>
      </c>
      <c r="H136" t="s">
        <v>22</v>
      </c>
      <c r="I136" t="s">
        <v>655</v>
      </c>
    </row>
    <row r="137" spans="1:9" x14ac:dyDescent="0.35">
      <c r="A137" t="s">
        <v>657</v>
      </c>
      <c r="B137" t="str">
        <f>"9780195347173"</f>
        <v>9780195347173</v>
      </c>
      <c r="C137" t="s">
        <v>661</v>
      </c>
      <c r="D137" t="s">
        <v>659</v>
      </c>
      <c r="E137" t="s">
        <v>167</v>
      </c>
      <c r="F137" t="s">
        <v>658</v>
      </c>
      <c r="H137" t="s">
        <v>22</v>
      </c>
      <c r="I137" t="s">
        <v>660</v>
      </c>
    </row>
    <row r="138" spans="1:9" x14ac:dyDescent="0.35">
      <c r="A138" t="s">
        <v>662</v>
      </c>
      <c r="B138" t="str">
        <f>"9780807876589"</f>
        <v>9780807876589</v>
      </c>
      <c r="C138" t="s">
        <v>665</v>
      </c>
      <c r="D138" t="s">
        <v>663</v>
      </c>
      <c r="E138" t="s">
        <v>549</v>
      </c>
      <c r="H138" t="s">
        <v>22</v>
      </c>
      <c r="I138" t="s">
        <v>664</v>
      </c>
    </row>
    <row r="139" spans="1:9" x14ac:dyDescent="0.35">
      <c r="A139" t="s">
        <v>666</v>
      </c>
      <c r="B139" t="str">
        <f>"9781444310672"</f>
        <v>9781444310672</v>
      </c>
      <c r="C139" t="s">
        <v>670</v>
      </c>
      <c r="D139" t="s">
        <v>668</v>
      </c>
      <c r="E139" t="s">
        <v>444</v>
      </c>
      <c r="F139" t="s">
        <v>667</v>
      </c>
      <c r="H139" t="s">
        <v>22</v>
      </c>
      <c r="I139" t="s">
        <v>669</v>
      </c>
    </row>
    <row r="140" spans="1:9" x14ac:dyDescent="0.35">
      <c r="A140" t="s">
        <v>671</v>
      </c>
      <c r="B140" t="str">
        <f>"9783110198805"</f>
        <v>9783110198805</v>
      </c>
      <c r="C140" t="s">
        <v>676</v>
      </c>
      <c r="D140" t="s">
        <v>673</v>
      </c>
      <c r="E140" t="s">
        <v>502</v>
      </c>
      <c r="F140" t="s">
        <v>672</v>
      </c>
      <c r="H140" t="s">
        <v>674</v>
      </c>
      <c r="I140" t="s">
        <v>675</v>
      </c>
    </row>
    <row r="141" spans="1:9" x14ac:dyDescent="0.35">
      <c r="A141" t="s">
        <v>677</v>
      </c>
      <c r="B141" t="str">
        <f>"9780754684787"</f>
        <v>9780754684787</v>
      </c>
      <c r="C141" t="s">
        <v>680</v>
      </c>
      <c r="D141" t="s">
        <v>678</v>
      </c>
      <c r="E141" t="s">
        <v>9</v>
      </c>
      <c r="H141" t="s">
        <v>22</v>
      </c>
      <c r="I141" t="s">
        <v>679</v>
      </c>
    </row>
    <row r="142" spans="1:9" x14ac:dyDescent="0.35">
      <c r="A142" t="s">
        <v>681</v>
      </c>
      <c r="B142" t="str">
        <f>"9780754682363"</f>
        <v>9780754682363</v>
      </c>
      <c r="C142" t="s">
        <v>684</v>
      </c>
      <c r="D142" t="s">
        <v>682</v>
      </c>
      <c r="E142" t="s">
        <v>9</v>
      </c>
      <c r="H142" t="s">
        <v>163</v>
      </c>
      <c r="I142" t="s">
        <v>683</v>
      </c>
    </row>
    <row r="143" spans="1:9" x14ac:dyDescent="0.35">
      <c r="A143" t="s">
        <v>685</v>
      </c>
      <c r="B143" t="str">
        <f>"9780754680918"</f>
        <v>9780754680918</v>
      </c>
      <c r="C143" t="s">
        <v>689</v>
      </c>
      <c r="D143" t="s">
        <v>687</v>
      </c>
      <c r="E143" t="s">
        <v>9</v>
      </c>
      <c r="F143" t="s">
        <v>686</v>
      </c>
      <c r="H143" t="s">
        <v>397</v>
      </c>
      <c r="I143" t="s">
        <v>688</v>
      </c>
    </row>
    <row r="144" spans="1:9" x14ac:dyDescent="0.35">
      <c r="A144" t="s">
        <v>690</v>
      </c>
      <c r="B144" t="str">
        <f>"9780754683681"</f>
        <v>9780754683681</v>
      </c>
      <c r="C144" t="s">
        <v>694</v>
      </c>
      <c r="D144" t="s">
        <v>692</v>
      </c>
      <c r="E144" t="s">
        <v>9</v>
      </c>
      <c r="F144" t="s">
        <v>691</v>
      </c>
      <c r="H144" t="s">
        <v>70</v>
      </c>
      <c r="I144" t="s">
        <v>693</v>
      </c>
    </row>
    <row r="145" spans="1:9" x14ac:dyDescent="0.35">
      <c r="A145" t="s">
        <v>695</v>
      </c>
      <c r="B145" t="str">
        <f>"9780199712489"</f>
        <v>9780199712489</v>
      </c>
      <c r="C145" t="s">
        <v>698</v>
      </c>
      <c r="D145" t="s">
        <v>696</v>
      </c>
      <c r="E145" t="s">
        <v>167</v>
      </c>
      <c r="H145" t="s">
        <v>22</v>
      </c>
      <c r="I145" t="s">
        <v>697</v>
      </c>
    </row>
    <row r="146" spans="1:9" x14ac:dyDescent="0.35">
      <c r="A146" t="s">
        <v>699</v>
      </c>
      <c r="B146" t="str">
        <f>"9780226327297"</f>
        <v>9780226327297</v>
      </c>
      <c r="C146" t="s">
        <v>702</v>
      </c>
      <c r="D146" t="s">
        <v>700</v>
      </c>
      <c r="E146" t="s">
        <v>535</v>
      </c>
      <c r="H146" t="s">
        <v>22</v>
      </c>
      <c r="I146" t="s">
        <v>701</v>
      </c>
    </row>
    <row r="147" spans="1:9" x14ac:dyDescent="0.35">
      <c r="A147" t="s">
        <v>703</v>
      </c>
      <c r="B147" t="str">
        <f>"9780226544106"</f>
        <v>9780226544106</v>
      </c>
      <c r="C147" t="s">
        <v>707</v>
      </c>
      <c r="D147" t="s">
        <v>705</v>
      </c>
      <c r="E147" t="s">
        <v>535</v>
      </c>
      <c r="F147" t="s">
        <v>704</v>
      </c>
      <c r="H147" t="s">
        <v>625</v>
      </c>
      <c r="I147" t="s">
        <v>706</v>
      </c>
    </row>
    <row r="148" spans="1:9" x14ac:dyDescent="0.35">
      <c r="A148" t="s">
        <v>708</v>
      </c>
      <c r="B148" t="str">
        <f>"9780226569598"</f>
        <v>9780226569598</v>
      </c>
      <c r="C148" t="s">
        <v>711</v>
      </c>
      <c r="D148" t="s">
        <v>709</v>
      </c>
      <c r="E148" t="s">
        <v>535</v>
      </c>
      <c r="H148" t="s">
        <v>22</v>
      </c>
      <c r="I148" t="s">
        <v>710</v>
      </c>
    </row>
    <row r="149" spans="1:9" x14ac:dyDescent="0.35">
      <c r="A149" t="s">
        <v>712</v>
      </c>
      <c r="B149" t="str">
        <f>"9780226644370"</f>
        <v>9780226644370</v>
      </c>
      <c r="C149" t="s">
        <v>716</v>
      </c>
      <c r="D149" t="s">
        <v>714</v>
      </c>
      <c r="E149" t="s">
        <v>535</v>
      </c>
      <c r="F149" t="s">
        <v>713</v>
      </c>
      <c r="H149" t="s">
        <v>22</v>
      </c>
      <c r="I149" t="s">
        <v>715</v>
      </c>
    </row>
    <row r="150" spans="1:9" x14ac:dyDescent="0.35">
      <c r="A150" t="s">
        <v>717</v>
      </c>
      <c r="B150" t="str">
        <f>"9780816666553"</f>
        <v>9780816666553</v>
      </c>
      <c r="C150" t="s">
        <v>720</v>
      </c>
      <c r="D150" t="s">
        <v>718</v>
      </c>
      <c r="E150" t="s">
        <v>305</v>
      </c>
      <c r="H150" t="s">
        <v>147</v>
      </c>
      <c r="I150" t="s">
        <v>719</v>
      </c>
    </row>
    <row r="151" spans="1:9" x14ac:dyDescent="0.35">
      <c r="A151" t="s">
        <v>721</v>
      </c>
      <c r="B151" t="str">
        <f>"9780816666331"</f>
        <v>9780816666331</v>
      </c>
      <c r="C151" t="s">
        <v>725</v>
      </c>
      <c r="D151" t="s">
        <v>723</v>
      </c>
      <c r="E151" t="s">
        <v>305</v>
      </c>
      <c r="F151" t="s">
        <v>722</v>
      </c>
      <c r="H151" t="s">
        <v>22</v>
      </c>
      <c r="I151" t="s">
        <v>724</v>
      </c>
    </row>
    <row r="152" spans="1:9" x14ac:dyDescent="0.35">
      <c r="A152" t="s">
        <v>726</v>
      </c>
      <c r="B152" t="str">
        <f>"9780816666232"</f>
        <v>9780816666232</v>
      </c>
      <c r="C152" t="s">
        <v>729</v>
      </c>
      <c r="D152" t="s">
        <v>727</v>
      </c>
      <c r="E152" t="s">
        <v>305</v>
      </c>
      <c r="H152" t="s">
        <v>86</v>
      </c>
      <c r="I152" t="s">
        <v>728</v>
      </c>
    </row>
    <row r="153" spans="1:9" x14ac:dyDescent="0.35">
      <c r="A153" t="s">
        <v>730</v>
      </c>
      <c r="B153" t="str">
        <f>"9780816668205"</f>
        <v>9780816668205</v>
      </c>
      <c r="C153" t="s">
        <v>733</v>
      </c>
      <c r="D153" t="s">
        <v>731</v>
      </c>
      <c r="E153" t="s">
        <v>305</v>
      </c>
      <c r="H153" t="s">
        <v>22</v>
      </c>
      <c r="I153" t="s">
        <v>732</v>
      </c>
    </row>
    <row r="154" spans="1:9" x14ac:dyDescent="0.35">
      <c r="A154" t="s">
        <v>734</v>
      </c>
      <c r="B154" t="str">
        <f>"9781841502922"</f>
        <v>9781841502922</v>
      </c>
      <c r="C154" t="s">
        <v>737</v>
      </c>
      <c r="D154" t="s">
        <v>735</v>
      </c>
      <c r="E154" t="s">
        <v>479</v>
      </c>
      <c r="H154" t="s">
        <v>86</v>
      </c>
      <c r="I154" t="s">
        <v>736</v>
      </c>
    </row>
    <row r="155" spans="1:9" x14ac:dyDescent="0.35">
      <c r="A155" t="s">
        <v>738</v>
      </c>
      <c r="B155" t="str">
        <f>"9780813546964"</f>
        <v>9780813546964</v>
      </c>
      <c r="C155" t="s">
        <v>742</v>
      </c>
      <c r="D155" t="s">
        <v>740</v>
      </c>
      <c r="E155" t="s">
        <v>366</v>
      </c>
      <c r="F155" t="s">
        <v>739</v>
      </c>
      <c r="H155" t="s">
        <v>22</v>
      </c>
      <c r="I155" t="s">
        <v>741</v>
      </c>
    </row>
    <row r="156" spans="1:9" x14ac:dyDescent="0.35">
      <c r="A156" t="s">
        <v>743</v>
      </c>
      <c r="B156" t="str">
        <f>"9780253002938"</f>
        <v>9780253002938</v>
      </c>
      <c r="C156" t="s">
        <v>747</v>
      </c>
      <c r="D156" t="s">
        <v>744</v>
      </c>
      <c r="E156" t="s">
        <v>110</v>
      </c>
      <c r="H156" t="s">
        <v>745</v>
      </c>
      <c r="I156" t="s">
        <v>746</v>
      </c>
    </row>
    <row r="157" spans="1:9" x14ac:dyDescent="0.35">
      <c r="A157" t="s">
        <v>748</v>
      </c>
      <c r="B157" t="str">
        <f>"9780817381646"</f>
        <v>9780817381646</v>
      </c>
      <c r="C157" t="s">
        <v>753</v>
      </c>
      <c r="D157" t="s">
        <v>750</v>
      </c>
      <c r="E157" t="s">
        <v>749</v>
      </c>
      <c r="H157" t="s">
        <v>751</v>
      </c>
      <c r="I157" t="s">
        <v>752</v>
      </c>
    </row>
    <row r="158" spans="1:9" x14ac:dyDescent="0.35">
      <c r="A158" t="s">
        <v>754</v>
      </c>
      <c r="B158" t="str">
        <f>"9780754691457"</f>
        <v>9780754691457</v>
      </c>
      <c r="C158" t="s">
        <v>757</v>
      </c>
      <c r="D158" t="s">
        <v>755</v>
      </c>
      <c r="E158" t="s">
        <v>9</v>
      </c>
      <c r="H158" t="s">
        <v>625</v>
      </c>
      <c r="I158" t="s">
        <v>756</v>
      </c>
    </row>
    <row r="159" spans="1:9" x14ac:dyDescent="0.35">
      <c r="A159" t="s">
        <v>758</v>
      </c>
      <c r="B159" t="str">
        <f>"9780754690610"</f>
        <v>9780754690610</v>
      </c>
      <c r="C159" t="s">
        <v>762</v>
      </c>
      <c r="D159" t="s">
        <v>760</v>
      </c>
      <c r="E159" t="s">
        <v>9</v>
      </c>
      <c r="F159" t="s">
        <v>759</v>
      </c>
      <c r="H159" t="s">
        <v>22</v>
      </c>
      <c r="I159" t="s">
        <v>761</v>
      </c>
    </row>
    <row r="160" spans="1:9" x14ac:dyDescent="0.35">
      <c r="A160" t="s">
        <v>763</v>
      </c>
      <c r="B160" t="str">
        <f>"9780754692799"</f>
        <v>9780754692799</v>
      </c>
      <c r="C160" t="s">
        <v>766</v>
      </c>
      <c r="D160" t="s">
        <v>764</v>
      </c>
      <c r="E160" t="s">
        <v>9</v>
      </c>
      <c r="H160" t="s">
        <v>22</v>
      </c>
      <c r="I160" t="s">
        <v>765</v>
      </c>
    </row>
    <row r="161" spans="1:9" x14ac:dyDescent="0.35">
      <c r="A161" t="s">
        <v>767</v>
      </c>
      <c r="B161" t="str">
        <f>"9780754686835"</f>
        <v>9780754686835</v>
      </c>
      <c r="C161" t="s">
        <v>771</v>
      </c>
      <c r="D161" t="s">
        <v>769</v>
      </c>
      <c r="E161" t="s">
        <v>9</v>
      </c>
      <c r="F161" t="s">
        <v>768</v>
      </c>
      <c r="H161" t="s">
        <v>147</v>
      </c>
      <c r="I161" t="s">
        <v>770</v>
      </c>
    </row>
    <row r="162" spans="1:9" x14ac:dyDescent="0.35">
      <c r="A162" t="s">
        <v>772</v>
      </c>
      <c r="B162" t="str">
        <f>"9780754690726"</f>
        <v>9780754690726</v>
      </c>
      <c r="C162" t="s">
        <v>775</v>
      </c>
      <c r="D162" t="s">
        <v>773</v>
      </c>
      <c r="E162" t="s">
        <v>9</v>
      </c>
      <c r="F162" t="s">
        <v>759</v>
      </c>
      <c r="H162" t="s">
        <v>22</v>
      </c>
      <c r="I162" t="s">
        <v>774</v>
      </c>
    </row>
    <row r="163" spans="1:9" x14ac:dyDescent="0.35">
      <c r="A163" t="s">
        <v>776</v>
      </c>
      <c r="B163" t="str">
        <f>"9780754690849"</f>
        <v>9780754690849</v>
      </c>
      <c r="C163" t="s">
        <v>780</v>
      </c>
      <c r="D163" t="s">
        <v>778</v>
      </c>
      <c r="E163" t="s">
        <v>9</v>
      </c>
      <c r="F163" t="s">
        <v>777</v>
      </c>
      <c r="H163" t="s">
        <v>22</v>
      </c>
      <c r="I163" t="s">
        <v>779</v>
      </c>
    </row>
    <row r="164" spans="1:9" x14ac:dyDescent="0.35">
      <c r="A164" t="s">
        <v>781</v>
      </c>
      <c r="B164" t="str">
        <f>"9780754686460"</f>
        <v>9780754686460</v>
      </c>
      <c r="C164" t="s">
        <v>784</v>
      </c>
      <c r="D164" t="s">
        <v>782</v>
      </c>
      <c r="E164" t="s">
        <v>9</v>
      </c>
      <c r="H164" t="s">
        <v>22</v>
      </c>
      <c r="I164" t="s">
        <v>783</v>
      </c>
    </row>
    <row r="165" spans="1:9" x14ac:dyDescent="0.35">
      <c r="A165" t="s">
        <v>785</v>
      </c>
      <c r="B165" t="str">
        <f>"9780203875315"</f>
        <v>9780203875315</v>
      </c>
      <c r="C165" t="s">
        <v>789</v>
      </c>
      <c r="D165" t="s">
        <v>786</v>
      </c>
      <c r="E165" t="s">
        <v>9</v>
      </c>
      <c r="F165" t="s">
        <v>68</v>
      </c>
      <c r="H165" t="s">
        <v>787</v>
      </c>
      <c r="I165" t="s">
        <v>788</v>
      </c>
    </row>
    <row r="166" spans="1:9" x14ac:dyDescent="0.35">
      <c r="A166" t="s">
        <v>790</v>
      </c>
      <c r="B166" t="str">
        <f>"9780203873762"</f>
        <v>9780203873762</v>
      </c>
      <c r="C166" t="s">
        <v>794</v>
      </c>
      <c r="D166" t="s">
        <v>792</v>
      </c>
      <c r="E166" t="s">
        <v>9</v>
      </c>
      <c r="F166" t="s">
        <v>791</v>
      </c>
      <c r="H166" t="s">
        <v>22</v>
      </c>
      <c r="I166" t="s">
        <v>793</v>
      </c>
    </row>
    <row r="167" spans="1:9" x14ac:dyDescent="0.35">
      <c r="A167" t="s">
        <v>795</v>
      </c>
      <c r="B167" t="str">
        <f>"9780203872802"</f>
        <v>9780203872802</v>
      </c>
      <c r="C167" t="s">
        <v>798</v>
      </c>
      <c r="D167" t="s">
        <v>796</v>
      </c>
      <c r="E167" t="s">
        <v>9</v>
      </c>
      <c r="H167" t="s">
        <v>22</v>
      </c>
      <c r="I167" t="s">
        <v>797</v>
      </c>
    </row>
    <row r="168" spans="1:9" x14ac:dyDescent="0.35">
      <c r="A168" t="s">
        <v>799</v>
      </c>
      <c r="B168" t="str">
        <f>"9780203892145"</f>
        <v>9780203892145</v>
      </c>
      <c r="C168" t="s">
        <v>802</v>
      </c>
      <c r="D168" t="s">
        <v>800</v>
      </c>
      <c r="E168" t="s">
        <v>9</v>
      </c>
      <c r="F168" t="s">
        <v>120</v>
      </c>
      <c r="H168" t="s">
        <v>22</v>
      </c>
      <c r="I168" t="s">
        <v>801</v>
      </c>
    </row>
    <row r="169" spans="1:9" x14ac:dyDescent="0.35">
      <c r="A169" t="s">
        <v>803</v>
      </c>
      <c r="B169" t="str">
        <f>"9780226327921"</f>
        <v>9780226327921</v>
      </c>
      <c r="C169" t="s">
        <v>806</v>
      </c>
      <c r="D169" t="s">
        <v>804</v>
      </c>
      <c r="E169" t="s">
        <v>535</v>
      </c>
      <c r="H169" t="s">
        <v>147</v>
      </c>
      <c r="I169" t="s">
        <v>805</v>
      </c>
    </row>
    <row r="170" spans="1:9" x14ac:dyDescent="0.35">
      <c r="A170" t="s">
        <v>807</v>
      </c>
      <c r="B170" t="str">
        <f>"9780754696148"</f>
        <v>9780754696148</v>
      </c>
      <c r="C170" t="s">
        <v>810</v>
      </c>
      <c r="D170" t="s">
        <v>808</v>
      </c>
      <c r="E170" t="s">
        <v>9</v>
      </c>
      <c r="H170" t="s">
        <v>86</v>
      </c>
      <c r="I170" t="s">
        <v>809</v>
      </c>
    </row>
    <row r="171" spans="1:9" x14ac:dyDescent="0.35">
      <c r="A171" t="s">
        <v>811</v>
      </c>
      <c r="B171" t="str">
        <f>"9780203875872"</f>
        <v>9780203875872</v>
      </c>
      <c r="C171" t="s">
        <v>816</v>
      </c>
      <c r="D171" t="s">
        <v>813</v>
      </c>
      <c r="E171" t="s">
        <v>9</v>
      </c>
      <c r="F171" t="s">
        <v>812</v>
      </c>
      <c r="H171" t="s">
        <v>814</v>
      </c>
      <c r="I171" t="s">
        <v>815</v>
      </c>
    </row>
    <row r="172" spans="1:9" x14ac:dyDescent="0.35">
      <c r="A172" t="s">
        <v>817</v>
      </c>
      <c r="B172" t="str">
        <f>"9781848550278"</f>
        <v>9781848550278</v>
      </c>
      <c r="C172" t="s">
        <v>822</v>
      </c>
      <c r="D172" t="s">
        <v>820</v>
      </c>
      <c r="E172" t="s">
        <v>818</v>
      </c>
      <c r="F172" t="s">
        <v>819</v>
      </c>
      <c r="H172" t="s">
        <v>22</v>
      </c>
      <c r="I172" t="s">
        <v>821</v>
      </c>
    </row>
    <row r="173" spans="1:9" x14ac:dyDescent="0.35">
      <c r="A173" t="s">
        <v>823</v>
      </c>
      <c r="B173" t="str">
        <f>"9780199745029"</f>
        <v>9780199745029</v>
      </c>
      <c r="C173" t="s">
        <v>827</v>
      </c>
      <c r="D173" t="s">
        <v>825</v>
      </c>
      <c r="E173" t="s">
        <v>167</v>
      </c>
      <c r="F173" t="s">
        <v>824</v>
      </c>
      <c r="H173" t="s">
        <v>22</v>
      </c>
      <c r="I173" t="s">
        <v>826</v>
      </c>
    </row>
    <row r="174" spans="1:9" x14ac:dyDescent="0.35">
      <c r="A174" t="s">
        <v>828</v>
      </c>
      <c r="B174" t="str">
        <f>"9780203885550"</f>
        <v>9780203885550</v>
      </c>
      <c r="C174" t="s">
        <v>831</v>
      </c>
      <c r="D174" t="s">
        <v>829</v>
      </c>
      <c r="E174" t="s">
        <v>9</v>
      </c>
      <c r="H174" t="s">
        <v>116</v>
      </c>
      <c r="I174" t="s">
        <v>830</v>
      </c>
    </row>
    <row r="175" spans="1:9" x14ac:dyDescent="0.35">
      <c r="A175" t="s">
        <v>832</v>
      </c>
      <c r="B175" t="str">
        <f>"9780203871188"</f>
        <v>9780203871188</v>
      </c>
      <c r="C175" t="s">
        <v>836</v>
      </c>
      <c r="D175" t="s">
        <v>834</v>
      </c>
      <c r="E175" t="s">
        <v>9</v>
      </c>
      <c r="F175" t="s">
        <v>833</v>
      </c>
      <c r="H175" t="s">
        <v>22</v>
      </c>
      <c r="I175" t="s">
        <v>835</v>
      </c>
    </row>
    <row r="176" spans="1:9" x14ac:dyDescent="0.35">
      <c r="A176" t="s">
        <v>837</v>
      </c>
      <c r="B176" t="str">
        <f>"9780817380137"</f>
        <v>9780817380137</v>
      </c>
      <c r="C176" t="s">
        <v>841</v>
      </c>
      <c r="D176" t="s">
        <v>839</v>
      </c>
      <c r="E176" t="s">
        <v>749</v>
      </c>
      <c r="F176" t="s">
        <v>838</v>
      </c>
      <c r="H176" t="s">
        <v>163</v>
      </c>
      <c r="I176" t="s">
        <v>840</v>
      </c>
    </row>
    <row r="177" spans="1:9" x14ac:dyDescent="0.35">
      <c r="A177" t="s">
        <v>842</v>
      </c>
      <c r="B177" t="str">
        <f>"9780807886861"</f>
        <v>9780807886861</v>
      </c>
      <c r="C177" t="s">
        <v>845</v>
      </c>
      <c r="D177" t="s">
        <v>843</v>
      </c>
      <c r="E177" t="s">
        <v>549</v>
      </c>
      <c r="H177" t="s">
        <v>22</v>
      </c>
      <c r="I177" t="s">
        <v>844</v>
      </c>
    </row>
    <row r="178" spans="1:9" x14ac:dyDescent="0.35">
      <c r="A178" t="s">
        <v>846</v>
      </c>
      <c r="B178" t="str">
        <f>"9780807888568"</f>
        <v>9780807888568</v>
      </c>
      <c r="C178" t="s">
        <v>851</v>
      </c>
      <c r="D178" t="s">
        <v>848</v>
      </c>
      <c r="E178" t="s">
        <v>558</v>
      </c>
      <c r="F178" t="s">
        <v>847</v>
      </c>
      <c r="H178" t="s">
        <v>849</v>
      </c>
      <c r="I178" t="s">
        <v>850</v>
      </c>
    </row>
    <row r="179" spans="1:9" x14ac:dyDescent="0.35">
      <c r="A179" t="s">
        <v>852</v>
      </c>
      <c r="B179" t="str">
        <f>"9780253002990"</f>
        <v>9780253002990</v>
      </c>
      <c r="C179" t="s">
        <v>856</v>
      </c>
      <c r="D179" t="s">
        <v>853</v>
      </c>
      <c r="E179" t="s">
        <v>110</v>
      </c>
      <c r="H179" t="s">
        <v>854</v>
      </c>
      <c r="I179" t="s">
        <v>855</v>
      </c>
    </row>
    <row r="180" spans="1:9" x14ac:dyDescent="0.35">
      <c r="A180" t="s">
        <v>857</v>
      </c>
      <c r="B180" t="str">
        <f>"9781400830855"</f>
        <v>9781400830855</v>
      </c>
      <c r="C180" t="s">
        <v>861</v>
      </c>
      <c r="D180" t="s">
        <v>859</v>
      </c>
      <c r="E180" t="s">
        <v>858</v>
      </c>
      <c r="H180" t="s">
        <v>22</v>
      </c>
      <c r="I180" t="s">
        <v>860</v>
      </c>
    </row>
    <row r="181" spans="1:9" x14ac:dyDescent="0.35">
      <c r="A181" t="s">
        <v>862</v>
      </c>
      <c r="B181" t="str">
        <f>"9780821377635"</f>
        <v>9780821377635</v>
      </c>
      <c r="C181" t="s">
        <v>868</v>
      </c>
      <c r="D181" t="s">
        <v>865</v>
      </c>
      <c r="E181" t="s">
        <v>863</v>
      </c>
      <c r="F181" t="s">
        <v>864</v>
      </c>
      <c r="H181" t="s">
        <v>866</v>
      </c>
      <c r="I181" t="s">
        <v>867</v>
      </c>
    </row>
    <row r="182" spans="1:9" x14ac:dyDescent="0.35">
      <c r="A182" t="s">
        <v>869</v>
      </c>
      <c r="B182" t="str">
        <f>"9780203871669"</f>
        <v>9780203871669</v>
      </c>
      <c r="C182" t="s">
        <v>872</v>
      </c>
      <c r="D182" t="s">
        <v>870</v>
      </c>
      <c r="E182" t="s">
        <v>9</v>
      </c>
      <c r="F182" t="s">
        <v>833</v>
      </c>
      <c r="H182" t="s">
        <v>22</v>
      </c>
      <c r="I182" t="s">
        <v>871</v>
      </c>
    </row>
    <row r="183" spans="1:9" x14ac:dyDescent="0.35">
      <c r="A183" t="s">
        <v>873</v>
      </c>
      <c r="B183" t="str">
        <f>"9780203869475"</f>
        <v>9780203869475</v>
      </c>
      <c r="C183" t="s">
        <v>876</v>
      </c>
      <c r="D183" t="s">
        <v>874</v>
      </c>
      <c r="E183" t="s">
        <v>9</v>
      </c>
      <c r="H183" t="s">
        <v>397</v>
      </c>
      <c r="I183" t="s">
        <v>875</v>
      </c>
    </row>
    <row r="184" spans="1:9" x14ac:dyDescent="0.35">
      <c r="A184" t="s">
        <v>877</v>
      </c>
      <c r="B184" t="str">
        <f>"9780203869802"</f>
        <v>9780203869802</v>
      </c>
      <c r="C184" t="s">
        <v>880</v>
      </c>
      <c r="D184" t="s">
        <v>878</v>
      </c>
      <c r="E184" t="s">
        <v>9</v>
      </c>
      <c r="F184" t="s">
        <v>68</v>
      </c>
      <c r="H184" t="s">
        <v>22</v>
      </c>
      <c r="I184" t="s">
        <v>879</v>
      </c>
    </row>
    <row r="185" spans="1:9" x14ac:dyDescent="0.35">
      <c r="A185" t="s">
        <v>881</v>
      </c>
      <c r="B185" t="str">
        <f>"9780742566125"</f>
        <v>9780742566125</v>
      </c>
      <c r="C185" t="s">
        <v>885</v>
      </c>
      <c r="D185" t="s">
        <v>883</v>
      </c>
      <c r="E185" t="s">
        <v>882</v>
      </c>
      <c r="H185" t="s">
        <v>22</v>
      </c>
      <c r="I185" t="s">
        <v>884</v>
      </c>
    </row>
    <row r="186" spans="1:9" x14ac:dyDescent="0.35">
      <c r="A186" t="s">
        <v>886</v>
      </c>
      <c r="B186" t="str">
        <f>"9780739129982"</f>
        <v>9780739129982</v>
      </c>
      <c r="C186" t="s">
        <v>890</v>
      </c>
      <c r="D186" t="s">
        <v>888</v>
      </c>
      <c r="E186" t="s">
        <v>887</v>
      </c>
      <c r="H186" t="s">
        <v>147</v>
      </c>
      <c r="I186" t="s">
        <v>889</v>
      </c>
    </row>
    <row r="187" spans="1:9" x14ac:dyDescent="0.35">
      <c r="A187" t="s">
        <v>891</v>
      </c>
      <c r="B187" t="str">
        <f>"9780739133514"</f>
        <v>9780739133514</v>
      </c>
      <c r="C187" t="s">
        <v>894</v>
      </c>
      <c r="D187" t="s">
        <v>892</v>
      </c>
      <c r="E187" t="s">
        <v>887</v>
      </c>
      <c r="H187" t="s">
        <v>75</v>
      </c>
      <c r="I187" t="s">
        <v>893</v>
      </c>
    </row>
    <row r="188" spans="1:9" x14ac:dyDescent="0.35">
      <c r="A188" t="s">
        <v>895</v>
      </c>
      <c r="B188" t="str">
        <f>"9780742566248"</f>
        <v>9780742566248</v>
      </c>
      <c r="C188" t="s">
        <v>899</v>
      </c>
      <c r="D188" t="s">
        <v>897</v>
      </c>
      <c r="E188" t="s">
        <v>882</v>
      </c>
      <c r="F188" t="s">
        <v>896</v>
      </c>
      <c r="H188" t="s">
        <v>397</v>
      </c>
      <c r="I188" t="s">
        <v>898</v>
      </c>
    </row>
    <row r="189" spans="1:9" x14ac:dyDescent="0.35">
      <c r="A189" t="s">
        <v>900</v>
      </c>
      <c r="B189" t="str">
        <f>"9789047440383"</f>
        <v>9789047440383</v>
      </c>
      <c r="C189" t="s">
        <v>904</v>
      </c>
      <c r="D189" t="s">
        <v>902</v>
      </c>
      <c r="E189" t="s">
        <v>901</v>
      </c>
      <c r="H189" t="s">
        <v>397</v>
      </c>
      <c r="I189" t="s">
        <v>903</v>
      </c>
    </row>
    <row r="190" spans="1:9" x14ac:dyDescent="0.35">
      <c r="A190" t="s">
        <v>905</v>
      </c>
      <c r="B190" t="str">
        <f>"9789047443629"</f>
        <v>9789047443629</v>
      </c>
      <c r="C190" t="s">
        <v>909</v>
      </c>
      <c r="D190" t="s">
        <v>907</v>
      </c>
      <c r="E190" t="s">
        <v>901</v>
      </c>
      <c r="F190" t="s">
        <v>906</v>
      </c>
      <c r="H190" t="s">
        <v>86</v>
      </c>
      <c r="I190" t="s">
        <v>908</v>
      </c>
    </row>
    <row r="191" spans="1:9" x14ac:dyDescent="0.35">
      <c r="A191" t="s">
        <v>910</v>
      </c>
      <c r="B191" t="str">
        <f>"9789047427544"</f>
        <v>9789047427544</v>
      </c>
      <c r="C191" t="s">
        <v>914</v>
      </c>
      <c r="D191" t="s">
        <v>912</v>
      </c>
      <c r="E191" t="s">
        <v>901</v>
      </c>
      <c r="F191" t="s">
        <v>911</v>
      </c>
      <c r="H191" t="s">
        <v>163</v>
      </c>
      <c r="I191" t="s">
        <v>913</v>
      </c>
    </row>
    <row r="192" spans="1:9" x14ac:dyDescent="0.35">
      <c r="A192" t="s">
        <v>915</v>
      </c>
      <c r="B192" t="str">
        <f>"9789047443063"</f>
        <v>9789047443063</v>
      </c>
      <c r="C192" t="s">
        <v>919</v>
      </c>
      <c r="D192" t="s">
        <v>917</v>
      </c>
      <c r="E192" t="s">
        <v>901</v>
      </c>
      <c r="F192" t="s">
        <v>916</v>
      </c>
      <c r="H192" t="s">
        <v>163</v>
      </c>
      <c r="I192" t="s">
        <v>918</v>
      </c>
    </row>
    <row r="193" spans="1:9" x14ac:dyDescent="0.35">
      <c r="A193" t="s">
        <v>920</v>
      </c>
      <c r="B193" t="str">
        <f>"9789047410546"</f>
        <v>9789047410546</v>
      </c>
      <c r="C193" t="s">
        <v>924</v>
      </c>
      <c r="D193" t="s">
        <v>922</v>
      </c>
      <c r="E193" t="s">
        <v>901</v>
      </c>
      <c r="F193" t="s">
        <v>921</v>
      </c>
      <c r="H193" t="s">
        <v>22</v>
      </c>
      <c r="I193" t="s">
        <v>923</v>
      </c>
    </row>
    <row r="194" spans="1:9" x14ac:dyDescent="0.35">
      <c r="A194" t="s">
        <v>925</v>
      </c>
      <c r="B194" t="str">
        <f>"9789047422730"</f>
        <v>9789047422730</v>
      </c>
      <c r="C194" t="s">
        <v>929</v>
      </c>
      <c r="D194" t="s">
        <v>927</v>
      </c>
      <c r="E194" t="s">
        <v>901</v>
      </c>
      <c r="F194" t="s">
        <v>926</v>
      </c>
      <c r="H194" t="s">
        <v>147</v>
      </c>
      <c r="I194" t="s">
        <v>928</v>
      </c>
    </row>
    <row r="195" spans="1:9" x14ac:dyDescent="0.35">
      <c r="A195" t="s">
        <v>930</v>
      </c>
      <c r="B195" t="str">
        <f>"9780520939059"</f>
        <v>9780520939059</v>
      </c>
      <c r="C195" t="s">
        <v>934</v>
      </c>
      <c r="D195" t="s">
        <v>931</v>
      </c>
      <c r="E195" t="s">
        <v>84</v>
      </c>
      <c r="H195" t="s">
        <v>932</v>
      </c>
      <c r="I195" t="s">
        <v>933</v>
      </c>
    </row>
    <row r="196" spans="1:9" x14ac:dyDescent="0.35">
      <c r="A196" t="s">
        <v>935</v>
      </c>
      <c r="B196" t="str">
        <f>"9780520941694"</f>
        <v>9780520941694</v>
      </c>
      <c r="C196" t="s">
        <v>939</v>
      </c>
      <c r="D196" t="s">
        <v>936</v>
      </c>
      <c r="E196" t="s">
        <v>84</v>
      </c>
      <c r="H196" t="s">
        <v>937</v>
      </c>
      <c r="I196" t="s">
        <v>938</v>
      </c>
    </row>
    <row r="197" spans="1:9" x14ac:dyDescent="0.35">
      <c r="A197" t="s">
        <v>940</v>
      </c>
      <c r="B197" t="str">
        <f>"9780803226579"</f>
        <v>9780803226579</v>
      </c>
      <c r="C197" t="s">
        <v>944</v>
      </c>
      <c r="D197" t="s">
        <v>942</v>
      </c>
      <c r="E197" t="s">
        <v>319</v>
      </c>
      <c r="F197" t="s">
        <v>941</v>
      </c>
      <c r="H197" t="s">
        <v>397</v>
      </c>
      <c r="I197" t="s">
        <v>943</v>
      </c>
    </row>
    <row r="198" spans="1:9" x14ac:dyDescent="0.35">
      <c r="A198" t="s">
        <v>945</v>
      </c>
      <c r="B198" t="str">
        <f>"9780816670437"</f>
        <v>9780816670437</v>
      </c>
      <c r="C198" t="s">
        <v>948</v>
      </c>
      <c r="D198" t="s">
        <v>946</v>
      </c>
      <c r="E198" t="s">
        <v>305</v>
      </c>
      <c r="H198" t="s">
        <v>22</v>
      </c>
      <c r="I198" t="s">
        <v>947</v>
      </c>
    </row>
    <row r="199" spans="1:9" x14ac:dyDescent="0.35">
      <c r="A199" t="s">
        <v>949</v>
      </c>
      <c r="B199" t="str">
        <f>"9780816667796"</f>
        <v>9780816667796</v>
      </c>
      <c r="C199" t="s">
        <v>953</v>
      </c>
      <c r="D199" t="s">
        <v>950</v>
      </c>
      <c r="E199" t="s">
        <v>305</v>
      </c>
      <c r="H199" t="s">
        <v>951</v>
      </c>
      <c r="I199" t="s">
        <v>952</v>
      </c>
    </row>
    <row r="200" spans="1:9" x14ac:dyDescent="0.35">
      <c r="A200" t="s">
        <v>954</v>
      </c>
      <c r="B200" t="str">
        <f>"9780816667956"</f>
        <v>9780816667956</v>
      </c>
      <c r="C200" t="s">
        <v>957</v>
      </c>
      <c r="D200" t="s">
        <v>955</v>
      </c>
      <c r="E200" t="s">
        <v>305</v>
      </c>
      <c r="H200" t="s">
        <v>22</v>
      </c>
      <c r="I200" t="s">
        <v>956</v>
      </c>
    </row>
    <row r="201" spans="1:9" x14ac:dyDescent="0.35">
      <c r="A201" t="s">
        <v>958</v>
      </c>
      <c r="B201" t="str">
        <f>"9780226729909"</f>
        <v>9780226729909</v>
      </c>
      <c r="C201" t="s">
        <v>961</v>
      </c>
      <c r="D201" t="s">
        <v>959</v>
      </c>
      <c r="E201" t="s">
        <v>535</v>
      </c>
      <c r="H201" t="s">
        <v>22</v>
      </c>
      <c r="I201" t="s">
        <v>960</v>
      </c>
    </row>
    <row r="202" spans="1:9" x14ac:dyDescent="0.35">
      <c r="A202" t="s">
        <v>962</v>
      </c>
      <c r="B202" t="str">
        <f>"9780199703395"</f>
        <v>9780199703395</v>
      </c>
      <c r="C202" t="s">
        <v>965</v>
      </c>
      <c r="D202" t="s">
        <v>963</v>
      </c>
      <c r="E202" t="s">
        <v>167</v>
      </c>
      <c r="H202" t="s">
        <v>22</v>
      </c>
      <c r="I202" t="s">
        <v>964</v>
      </c>
    </row>
    <row r="203" spans="1:9" x14ac:dyDescent="0.35">
      <c r="A203" t="s">
        <v>966</v>
      </c>
      <c r="B203" t="str">
        <f>"9780191569739"</f>
        <v>9780191569739</v>
      </c>
      <c r="C203" t="s">
        <v>970</v>
      </c>
      <c r="D203" t="s">
        <v>967</v>
      </c>
      <c r="E203" t="s">
        <v>579</v>
      </c>
      <c r="H203" t="s">
        <v>968</v>
      </c>
      <c r="I203" t="s">
        <v>969</v>
      </c>
    </row>
    <row r="204" spans="1:9" x14ac:dyDescent="0.35">
      <c r="A204" t="s">
        <v>971</v>
      </c>
      <c r="B204" t="str">
        <f>"9780191553455"</f>
        <v>9780191553455</v>
      </c>
      <c r="C204" t="s">
        <v>974</v>
      </c>
      <c r="D204" t="s">
        <v>972</v>
      </c>
      <c r="E204" t="s">
        <v>167</v>
      </c>
      <c r="H204" t="s">
        <v>70</v>
      </c>
      <c r="I204" t="s">
        <v>973</v>
      </c>
    </row>
    <row r="205" spans="1:9" x14ac:dyDescent="0.35">
      <c r="A205" t="s">
        <v>975</v>
      </c>
      <c r="B205" t="str">
        <f>"9780199707553"</f>
        <v>9780199707553</v>
      </c>
      <c r="C205" t="s">
        <v>978</v>
      </c>
      <c r="D205" t="s">
        <v>976</v>
      </c>
      <c r="E205" t="s">
        <v>167</v>
      </c>
      <c r="H205" t="s">
        <v>22</v>
      </c>
      <c r="I205" t="s">
        <v>977</v>
      </c>
    </row>
    <row r="206" spans="1:9" x14ac:dyDescent="0.35">
      <c r="A206" t="s">
        <v>979</v>
      </c>
      <c r="B206" t="str">
        <f>"9780199714322"</f>
        <v>9780199714322</v>
      </c>
      <c r="C206" t="s">
        <v>982</v>
      </c>
      <c r="D206" t="s">
        <v>980</v>
      </c>
      <c r="E206" t="s">
        <v>167</v>
      </c>
      <c r="H206" t="s">
        <v>86</v>
      </c>
      <c r="I206" t="s">
        <v>981</v>
      </c>
    </row>
    <row r="207" spans="1:9" x14ac:dyDescent="0.35">
      <c r="A207" t="s">
        <v>983</v>
      </c>
      <c r="B207" t="str">
        <f>"9780203860250"</f>
        <v>9780203860250</v>
      </c>
      <c r="C207" t="s">
        <v>987</v>
      </c>
      <c r="D207" t="s">
        <v>985</v>
      </c>
      <c r="E207" t="s">
        <v>9</v>
      </c>
      <c r="F207" t="s">
        <v>984</v>
      </c>
      <c r="H207" t="s">
        <v>22</v>
      </c>
      <c r="I207" t="s">
        <v>986</v>
      </c>
    </row>
    <row r="208" spans="1:9" x14ac:dyDescent="0.35">
      <c r="A208" t="s">
        <v>988</v>
      </c>
      <c r="B208" t="str">
        <f>"9780203865668"</f>
        <v>9780203865668</v>
      </c>
      <c r="C208" t="s">
        <v>991</v>
      </c>
      <c r="D208" t="s">
        <v>989</v>
      </c>
      <c r="E208" t="s">
        <v>9</v>
      </c>
      <c r="H208" t="s">
        <v>64</v>
      </c>
      <c r="I208" t="s">
        <v>990</v>
      </c>
    </row>
    <row r="209" spans="1:9" x14ac:dyDescent="0.35">
      <c r="A209" t="s">
        <v>992</v>
      </c>
      <c r="B209" t="str">
        <f>"9780203868348"</f>
        <v>9780203868348</v>
      </c>
      <c r="C209" t="s">
        <v>996</v>
      </c>
      <c r="D209" t="s">
        <v>994</v>
      </c>
      <c r="E209" t="s">
        <v>9</v>
      </c>
      <c r="F209" t="s">
        <v>993</v>
      </c>
      <c r="H209" t="s">
        <v>22</v>
      </c>
      <c r="I209" t="s">
        <v>995</v>
      </c>
    </row>
    <row r="210" spans="1:9" x14ac:dyDescent="0.35">
      <c r="A210" t="s">
        <v>997</v>
      </c>
      <c r="B210" t="str">
        <f>"9780838990506"</f>
        <v>9780838990506</v>
      </c>
      <c r="C210" t="s">
        <v>1002</v>
      </c>
      <c r="D210" t="s">
        <v>999</v>
      </c>
      <c r="E210" t="s">
        <v>998</v>
      </c>
      <c r="H210" t="s">
        <v>1000</v>
      </c>
      <c r="I210" t="s">
        <v>1001</v>
      </c>
    </row>
    <row r="211" spans="1:9" x14ac:dyDescent="0.35">
      <c r="A211" t="s">
        <v>1003</v>
      </c>
      <c r="B211" t="str">
        <f>"9781847426031"</f>
        <v>9781847426031</v>
      </c>
      <c r="C211" t="s">
        <v>1006</v>
      </c>
      <c r="D211" t="s">
        <v>1004</v>
      </c>
      <c r="E211" t="s">
        <v>609</v>
      </c>
      <c r="H211" t="s">
        <v>22</v>
      </c>
      <c r="I211" t="s">
        <v>1005</v>
      </c>
    </row>
    <row r="212" spans="1:9" x14ac:dyDescent="0.35">
      <c r="A212" t="s">
        <v>1007</v>
      </c>
      <c r="B212" t="str">
        <f>"9780807888667"</f>
        <v>9780807888667</v>
      </c>
      <c r="C212" t="s">
        <v>1010</v>
      </c>
      <c r="D212" t="s">
        <v>1008</v>
      </c>
      <c r="E212" t="s">
        <v>558</v>
      </c>
      <c r="H212" t="s">
        <v>22</v>
      </c>
      <c r="I212" t="s">
        <v>1009</v>
      </c>
    </row>
    <row r="213" spans="1:9" x14ac:dyDescent="0.35">
      <c r="A213" t="s">
        <v>1011</v>
      </c>
      <c r="B213" t="str">
        <f>"9781593763428"</f>
        <v>9781593763428</v>
      </c>
      <c r="C213" t="s">
        <v>1016</v>
      </c>
      <c r="D213" t="s">
        <v>1013</v>
      </c>
      <c r="E213" t="s">
        <v>1012</v>
      </c>
      <c r="H213" t="s">
        <v>1014</v>
      </c>
      <c r="I213" t="s">
        <v>1015</v>
      </c>
    </row>
    <row r="214" spans="1:9" x14ac:dyDescent="0.35">
      <c r="A214" t="s">
        <v>1017</v>
      </c>
      <c r="B214" t="str">
        <f>"9781551523514"</f>
        <v>9781551523514</v>
      </c>
      <c r="C214" t="s">
        <v>1021</v>
      </c>
      <c r="D214" t="s">
        <v>1019</v>
      </c>
      <c r="E214" t="s">
        <v>1018</v>
      </c>
      <c r="H214" t="s">
        <v>22</v>
      </c>
      <c r="I214" t="s">
        <v>1020</v>
      </c>
    </row>
    <row r="215" spans="1:9" x14ac:dyDescent="0.35">
      <c r="A215" t="s">
        <v>1022</v>
      </c>
      <c r="B215" t="str">
        <f>"9781551523507"</f>
        <v>9781551523507</v>
      </c>
      <c r="C215" t="s">
        <v>1026</v>
      </c>
      <c r="D215" t="s">
        <v>1024</v>
      </c>
      <c r="E215" t="s">
        <v>1018</v>
      </c>
      <c r="F215" t="s">
        <v>1023</v>
      </c>
      <c r="H215" t="s">
        <v>86</v>
      </c>
      <c r="I215" t="s">
        <v>1025</v>
      </c>
    </row>
    <row r="216" spans="1:9" x14ac:dyDescent="0.35">
      <c r="A216" t="s">
        <v>1027</v>
      </c>
      <c r="B216" t="str">
        <f>"9781593763145"</f>
        <v>9781593763145</v>
      </c>
      <c r="C216" t="s">
        <v>1030</v>
      </c>
      <c r="D216" t="s">
        <v>1028</v>
      </c>
      <c r="E216" t="s">
        <v>1012</v>
      </c>
      <c r="H216" t="s">
        <v>22</v>
      </c>
      <c r="I216" t="s">
        <v>1029</v>
      </c>
    </row>
    <row r="217" spans="1:9" x14ac:dyDescent="0.35">
      <c r="A217" t="s">
        <v>1031</v>
      </c>
      <c r="B217" t="str">
        <f>"9781551523149"</f>
        <v>9781551523149</v>
      </c>
      <c r="C217" t="s">
        <v>1034</v>
      </c>
      <c r="D217" t="s">
        <v>1032</v>
      </c>
      <c r="E217" t="s">
        <v>1018</v>
      </c>
      <c r="H217" t="s">
        <v>22</v>
      </c>
      <c r="I217" t="s">
        <v>1033</v>
      </c>
    </row>
    <row r="218" spans="1:9" x14ac:dyDescent="0.35">
      <c r="A218" t="s">
        <v>1035</v>
      </c>
      <c r="B218" t="str">
        <f>"9781551523491"</f>
        <v>9781551523491</v>
      </c>
      <c r="C218" t="s">
        <v>1038</v>
      </c>
      <c r="D218" t="s">
        <v>1036</v>
      </c>
      <c r="E218" t="s">
        <v>1018</v>
      </c>
      <c r="F218" t="s">
        <v>1023</v>
      </c>
      <c r="H218" t="s">
        <v>86</v>
      </c>
      <c r="I218" t="s">
        <v>1037</v>
      </c>
    </row>
    <row r="219" spans="1:9" x14ac:dyDescent="0.35">
      <c r="A219" t="s">
        <v>1039</v>
      </c>
      <c r="B219" t="str">
        <f>"9780203860229"</f>
        <v>9780203860229</v>
      </c>
      <c r="C219" t="s">
        <v>1041</v>
      </c>
      <c r="D219" t="s">
        <v>21</v>
      </c>
      <c r="E219" t="s">
        <v>9</v>
      </c>
      <c r="H219" t="s">
        <v>22</v>
      </c>
      <c r="I219" t="s">
        <v>1040</v>
      </c>
    </row>
    <row r="220" spans="1:9" x14ac:dyDescent="0.35">
      <c r="A220" t="s">
        <v>1042</v>
      </c>
      <c r="B220" t="str">
        <f>"9780203862810"</f>
        <v>9780203862810</v>
      </c>
      <c r="C220" t="s">
        <v>1046</v>
      </c>
      <c r="D220" t="s">
        <v>1044</v>
      </c>
      <c r="E220" t="s">
        <v>9</v>
      </c>
      <c r="F220" t="s">
        <v>1043</v>
      </c>
      <c r="H220" t="s">
        <v>22</v>
      </c>
      <c r="I220" t="s">
        <v>1045</v>
      </c>
    </row>
    <row r="221" spans="1:9" x14ac:dyDescent="0.35">
      <c r="A221" t="s">
        <v>1047</v>
      </c>
      <c r="B221" t="str">
        <f>"9780203856031"</f>
        <v>9780203856031</v>
      </c>
      <c r="C221" t="s">
        <v>1050</v>
      </c>
      <c r="D221" t="s">
        <v>1048</v>
      </c>
      <c r="E221" t="s">
        <v>9</v>
      </c>
      <c r="F221" t="s">
        <v>68</v>
      </c>
      <c r="H221" t="s">
        <v>22</v>
      </c>
      <c r="I221" t="s">
        <v>1049</v>
      </c>
    </row>
    <row r="222" spans="1:9" x14ac:dyDescent="0.35">
      <c r="A222" t="s">
        <v>1051</v>
      </c>
      <c r="B222" t="str">
        <f>"9781847427779"</f>
        <v>9781847427779</v>
      </c>
      <c r="C222" t="s">
        <v>1054</v>
      </c>
      <c r="D222" t="s">
        <v>1052</v>
      </c>
      <c r="E222" t="s">
        <v>609</v>
      </c>
      <c r="H222" t="s">
        <v>70</v>
      </c>
      <c r="I222" t="s">
        <v>1053</v>
      </c>
    </row>
    <row r="223" spans="1:9" x14ac:dyDescent="0.35">
      <c r="A223" t="s">
        <v>1055</v>
      </c>
      <c r="B223" t="str">
        <f>"9781847427762"</f>
        <v>9781847427762</v>
      </c>
      <c r="C223" t="s">
        <v>1058</v>
      </c>
      <c r="D223" t="s">
        <v>1056</v>
      </c>
      <c r="E223" t="s">
        <v>609</v>
      </c>
      <c r="H223" t="s">
        <v>22</v>
      </c>
      <c r="I223" t="s">
        <v>1057</v>
      </c>
    </row>
    <row r="224" spans="1:9" x14ac:dyDescent="0.35">
      <c r="A224" t="s">
        <v>1059</v>
      </c>
      <c r="B224" t="str">
        <f>"9780810872639"</f>
        <v>9780810872639</v>
      </c>
      <c r="C224" t="s">
        <v>1063</v>
      </c>
      <c r="D224" t="s">
        <v>1061</v>
      </c>
      <c r="E224" t="s">
        <v>1060</v>
      </c>
      <c r="H224" t="s">
        <v>86</v>
      </c>
      <c r="I224" t="s">
        <v>1062</v>
      </c>
    </row>
    <row r="225" spans="1:9" x14ac:dyDescent="0.35">
      <c r="A225" t="s">
        <v>1064</v>
      </c>
      <c r="B225" t="str">
        <f>"9781442203068"</f>
        <v>9781442203068</v>
      </c>
      <c r="C225" t="s">
        <v>1067</v>
      </c>
      <c r="D225" t="s">
        <v>1065</v>
      </c>
      <c r="E225" t="s">
        <v>882</v>
      </c>
      <c r="H225" t="s">
        <v>163</v>
      </c>
      <c r="I225" t="s">
        <v>1066</v>
      </c>
    </row>
    <row r="226" spans="1:9" x14ac:dyDescent="0.35">
      <c r="A226" t="s">
        <v>1068</v>
      </c>
      <c r="B226" t="str">
        <f>"9780203860953"</f>
        <v>9780203860953</v>
      </c>
      <c r="C226" t="s">
        <v>1072</v>
      </c>
      <c r="D226" t="s">
        <v>1070</v>
      </c>
      <c r="E226" t="s">
        <v>9</v>
      </c>
      <c r="F226" t="s">
        <v>1069</v>
      </c>
      <c r="H226" t="s">
        <v>22</v>
      </c>
      <c r="I226" t="s">
        <v>1071</v>
      </c>
    </row>
    <row r="227" spans="1:9" x14ac:dyDescent="0.35">
      <c r="A227" t="s">
        <v>1073</v>
      </c>
      <c r="B227" t="str">
        <f>"9780203858622"</f>
        <v>9780203858622</v>
      </c>
      <c r="C227" t="s">
        <v>1076</v>
      </c>
      <c r="D227" t="s">
        <v>1074</v>
      </c>
      <c r="E227" t="s">
        <v>9</v>
      </c>
      <c r="H227" t="s">
        <v>397</v>
      </c>
      <c r="I227" t="s">
        <v>1075</v>
      </c>
    </row>
    <row r="228" spans="1:9" x14ac:dyDescent="0.35">
      <c r="A228" t="s">
        <v>1077</v>
      </c>
      <c r="B228" t="str">
        <f>"9780253002587"</f>
        <v>9780253002587</v>
      </c>
      <c r="C228" t="s">
        <v>1080</v>
      </c>
      <c r="D228" t="s">
        <v>1078</v>
      </c>
      <c r="E228" t="s">
        <v>110</v>
      </c>
      <c r="H228" t="s">
        <v>22</v>
      </c>
      <c r="I228" t="s">
        <v>1079</v>
      </c>
    </row>
    <row r="229" spans="1:9" x14ac:dyDescent="0.35">
      <c r="A229" t="s">
        <v>1081</v>
      </c>
      <c r="B229" t="str">
        <f>"9780816670536"</f>
        <v>9780816670536</v>
      </c>
      <c r="C229" t="s">
        <v>1084</v>
      </c>
      <c r="D229" t="s">
        <v>1082</v>
      </c>
      <c r="E229" t="s">
        <v>305</v>
      </c>
      <c r="H229" t="s">
        <v>86</v>
      </c>
      <c r="I229" t="s">
        <v>1083</v>
      </c>
    </row>
    <row r="230" spans="1:9" x14ac:dyDescent="0.35">
      <c r="A230" t="s">
        <v>1085</v>
      </c>
      <c r="B230" t="str">
        <f>"9789047440611"</f>
        <v>9789047440611</v>
      </c>
      <c r="C230" t="s">
        <v>1089</v>
      </c>
      <c r="D230" t="s">
        <v>1087</v>
      </c>
      <c r="E230" t="s">
        <v>901</v>
      </c>
      <c r="F230" t="s">
        <v>1086</v>
      </c>
      <c r="H230" t="s">
        <v>163</v>
      </c>
      <c r="I230" t="s">
        <v>1088</v>
      </c>
    </row>
    <row r="231" spans="1:9" x14ac:dyDescent="0.35">
      <c r="A231" t="s">
        <v>1090</v>
      </c>
      <c r="B231" t="str">
        <f>"9789047427100"</f>
        <v>9789047427100</v>
      </c>
      <c r="C231" t="s">
        <v>1094</v>
      </c>
      <c r="D231" t="s">
        <v>1092</v>
      </c>
      <c r="E231" t="s">
        <v>901</v>
      </c>
      <c r="F231" t="s">
        <v>1091</v>
      </c>
      <c r="H231" t="s">
        <v>397</v>
      </c>
      <c r="I231" t="s">
        <v>1093</v>
      </c>
    </row>
    <row r="232" spans="1:9" x14ac:dyDescent="0.35">
      <c r="A232" t="s">
        <v>1095</v>
      </c>
      <c r="B232" t="str">
        <f>"9781409402190"</f>
        <v>9781409402190</v>
      </c>
      <c r="C232" t="s">
        <v>1098</v>
      </c>
      <c r="D232" t="s">
        <v>1096</v>
      </c>
      <c r="E232" t="s">
        <v>9</v>
      </c>
      <c r="H232" t="s">
        <v>147</v>
      </c>
      <c r="I232" t="s">
        <v>1097</v>
      </c>
    </row>
    <row r="233" spans="1:9" x14ac:dyDescent="0.35">
      <c r="A233" t="s">
        <v>1099</v>
      </c>
      <c r="B233" t="str">
        <f>"9780203856147"</f>
        <v>9780203856147</v>
      </c>
      <c r="C233" t="s">
        <v>1102</v>
      </c>
      <c r="D233" t="s">
        <v>1100</v>
      </c>
      <c r="E233" t="s">
        <v>9</v>
      </c>
      <c r="F233" t="s">
        <v>68</v>
      </c>
      <c r="H233" t="s">
        <v>22</v>
      </c>
      <c r="I233" t="s">
        <v>1101</v>
      </c>
    </row>
    <row r="234" spans="1:9" x14ac:dyDescent="0.35">
      <c r="A234" t="s">
        <v>1103</v>
      </c>
      <c r="B234" t="str">
        <f>"9780203855409"</f>
        <v>9780203855409</v>
      </c>
      <c r="C234" t="s">
        <v>1106</v>
      </c>
      <c r="D234" t="s">
        <v>1104</v>
      </c>
      <c r="E234" t="s">
        <v>9</v>
      </c>
      <c r="H234" t="s">
        <v>22</v>
      </c>
      <c r="I234" t="s">
        <v>1105</v>
      </c>
    </row>
    <row r="235" spans="1:9" x14ac:dyDescent="0.35">
      <c r="A235" t="s">
        <v>1107</v>
      </c>
      <c r="B235" t="str">
        <f>"9780708322796"</f>
        <v>9780708322796</v>
      </c>
      <c r="C235" t="s">
        <v>1113</v>
      </c>
      <c r="D235" t="s">
        <v>1110</v>
      </c>
      <c r="E235" t="s">
        <v>1108</v>
      </c>
      <c r="F235" t="s">
        <v>1109</v>
      </c>
      <c r="H235" t="s">
        <v>1111</v>
      </c>
      <c r="I235" t="s">
        <v>1112</v>
      </c>
    </row>
    <row r="236" spans="1:9" x14ac:dyDescent="0.35">
      <c r="A236" t="s">
        <v>1114</v>
      </c>
      <c r="B236" t="str">
        <f>"9780313362620"</f>
        <v>9780313362620</v>
      </c>
      <c r="C236" t="s">
        <v>1118</v>
      </c>
      <c r="D236" t="s">
        <v>1116</v>
      </c>
      <c r="E236" t="s">
        <v>338</v>
      </c>
      <c r="F236" t="s">
        <v>1115</v>
      </c>
      <c r="H236" t="s">
        <v>163</v>
      </c>
      <c r="I236" t="s">
        <v>1117</v>
      </c>
    </row>
    <row r="237" spans="1:9" x14ac:dyDescent="0.35">
      <c r="A237" t="s">
        <v>1119</v>
      </c>
      <c r="B237" t="str">
        <f>"9780742567481"</f>
        <v>9780742567481</v>
      </c>
      <c r="C237" t="s">
        <v>1123</v>
      </c>
      <c r="D237" t="s">
        <v>1121</v>
      </c>
      <c r="E237" t="s">
        <v>882</v>
      </c>
      <c r="F237" t="s">
        <v>1120</v>
      </c>
      <c r="H237" t="s">
        <v>22</v>
      </c>
      <c r="I237" t="s">
        <v>1122</v>
      </c>
    </row>
    <row r="238" spans="1:9" x14ac:dyDescent="0.35">
      <c r="A238" t="s">
        <v>1124</v>
      </c>
      <c r="B238" t="str">
        <f>"9780253004024"</f>
        <v>9780253004024</v>
      </c>
      <c r="C238" t="s">
        <v>1127</v>
      </c>
      <c r="D238" t="s">
        <v>1125</v>
      </c>
      <c r="E238" t="s">
        <v>110</v>
      </c>
      <c r="H238" t="s">
        <v>932</v>
      </c>
      <c r="I238" t="s">
        <v>1126</v>
      </c>
    </row>
    <row r="239" spans="1:9" x14ac:dyDescent="0.35">
      <c r="A239" t="s">
        <v>1128</v>
      </c>
      <c r="B239" t="str">
        <f>"9781409404774"</f>
        <v>9781409404774</v>
      </c>
      <c r="C239" t="s">
        <v>1131</v>
      </c>
      <c r="D239" t="s">
        <v>1129</v>
      </c>
      <c r="E239" t="s">
        <v>9</v>
      </c>
      <c r="H239" t="s">
        <v>163</v>
      </c>
      <c r="I239" t="s">
        <v>1130</v>
      </c>
    </row>
    <row r="240" spans="1:9" x14ac:dyDescent="0.35">
      <c r="A240" t="s">
        <v>1132</v>
      </c>
      <c r="B240" t="str">
        <f>"9780754693611"</f>
        <v>9780754693611</v>
      </c>
      <c r="C240" t="s">
        <v>1135</v>
      </c>
      <c r="D240" t="s">
        <v>1133</v>
      </c>
      <c r="E240" t="s">
        <v>9</v>
      </c>
      <c r="H240" t="s">
        <v>406</v>
      </c>
      <c r="I240" t="s">
        <v>1134</v>
      </c>
    </row>
    <row r="241" spans="1:9" x14ac:dyDescent="0.35">
      <c r="A241" t="s">
        <v>1136</v>
      </c>
      <c r="B241" t="str">
        <f>"9780203855430"</f>
        <v>9780203855430</v>
      </c>
      <c r="C241" t="s">
        <v>1139</v>
      </c>
      <c r="D241" t="s">
        <v>1137</v>
      </c>
      <c r="E241" t="s">
        <v>9</v>
      </c>
      <c r="H241" t="s">
        <v>22</v>
      </c>
      <c r="I241" t="s">
        <v>1138</v>
      </c>
    </row>
    <row r="242" spans="1:9" x14ac:dyDescent="0.35">
      <c r="A242" t="s">
        <v>1140</v>
      </c>
      <c r="B242" t="str">
        <f>"9780807877531"</f>
        <v>9780807877531</v>
      </c>
      <c r="C242" t="s">
        <v>1144</v>
      </c>
      <c r="D242" t="s">
        <v>1142</v>
      </c>
      <c r="E242" t="s">
        <v>558</v>
      </c>
      <c r="F242" t="s">
        <v>1141</v>
      </c>
      <c r="H242" t="s">
        <v>75</v>
      </c>
      <c r="I242" t="s">
        <v>1143</v>
      </c>
    </row>
    <row r="243" spans="1:9" x14ac:dyDescent="0.35">
      <c r="A243" t="s">
        <v>1145</v>
      </c>
      <c r="B243" t="str">
        <f>"9780807889855"</f>
        <v>9780807889855</v>
      </c>
      <c r="C243" t="s">
        <v>1149</v>
      </c>
      <c r="D243" t="s">
        <v>1146</v>
      </c>
      <c r="E243" t="s">
        <v>558</v>
      </c>
      <c r="H243" t="s">
        <v>1147</v>
      </c>
      <c r="I243" t="s">
        <v>1148</v>
      </c>
    </row>
    <row r="244" spans="1:9" x14ac:dyDescent="0.35">
      <c r="A244" t="s">
        <v>1150</v>
      </c>
      <c r="B244" t="str">
        <f>"9780203891841"</f>
        <v>9780203891841</v>
      </c>
      <c r="C244" t="s">
        <v>1154</v>
      </c>
      <c r="D244" t="s">
        <v>1152</v>
      </c>
      <c r="E244" t="s">
        <v>9</v>
      </c>
      <c r="F244" t="s">
        <v>1151</v>
      </c>
      <c r="H244" t="s">
        <v>116</v>
      </c>
      <c r="I244" t="s">
        <v>1153</v>
      </c>
    </row>
    <row r="245" spans="1:9" x14ac:dyDescent="0.35">
      <c r="A245" t="s">
        <v>1155</v>
      </c>
      <c r="B245" t="str">
        <f>"9780203856116"</f>
        <v>9780203856116</v>
      </c>
      <c r="C245" t="s">
        <v>1158</v>
      </c>
      <c r="D245" t="s">
        <v>1156</v>
      </c>
      <c r="E245" t="s">
        <v>9</v>
      </c>
      <c r="H245" t="s">
        <v>397</v>
      </c>
      <c r="I245" t="s">
        <v>1157</v>
      </c>
    </row>
    <row r="246" spans="1:9" x14ac:dyDescent="0.35">
      <c r="A246" t="s">
        <v>1159</v>
      </c>
      <c r="B246" t="str">
        <f>"9780203848678"</f>
        <v>9780203848678</v>
      </c>
      <c r="C246" t="s">
        <v>1164</v>
      </c>
      <c r="D246" t="s">
        <v>1161</v>
      </c>
      <c r="E246" t="s">
        <v>9</v>
      </c>
      <c r="F246" t="s">
        <v>1160</v>
      </c>
      <c r="H246" t="s">
        <v>1162</v>
      </c>
      <c r="I246" t="s">
        <v>1163</v>
      </c>
    </row>
    <row r="247" spans="1:9" x14ac:dyDescent="0.35">
      <c r="A247" t="s">
        <v>1165</v>
      </c>
      <c r="B247" t="str">
        <f>"9781604739565"</f>
        <v>9781604739565</v>
      </c>
      <c r="C247" t="s">
        <v>1169</v>
      </c>
      <c r="D247" t="s">
        <v>1167</v>
      </c>
      <c r="E247" t="s">
        <v>1166</v>
      </c>
      <c r="H247" t="s">
        <v>86</v>
      </c>
      <c r="I247" t="s">
        <v>1168</v>
      </c>
    </row>
    <row r="248" spans="1:9" x14ac:dyDescent="0.35">
      <c r="A248" t="s">
        <v>1170</v>
      </c>
      <c r="B248" t="str">
        <f>"9781136443794"</f>
        <v>9781136443794</v>
      </c>
      <c r="C248" t="s">
        <v>1175</v>
      </c>
      <c r="D248" t="s">
        <v>1172</v>
      </c>
      <c r="E248" t="s">
        <v>1171</v>
      </c>
      <c r="H248" t="s">
        <v>1173</v>
      </c>
      <c r="I248" t="s">
        <v>1174</v>
      </c>
    </row>
    <row r="249" spans="1:9" x14ac:dyDescent="0.35">
      <c r="A249" t="s">
        <v>1176</v>
      </c>
      <c r="B249" t="str">
        <f>"9780748630172"</f>
        <v>9780748630172</v>
      </c>
      <c r="C249" t="s">
        <v>1179</v>
      </c>
      <c r="D249" t="s">
        <v>1177</v>
      </c>
      <c r="E249" t="s">
        <v>151</v>
      </c>
      <c r="H249" t="s">
        <v>470</v>
      </c>
      <c r="I249" t="s">
        <v>1178</v>
      </c>
    </row>
    <row r="250" spans="1:9" x14ac:dyDescent="0.35">
      <c r="A250" t="s">
        <v>1180</v>
      </c>
      <c r="B250" t="str">
        <f>"9780748633845"</f>
        <v>9780748633845</v>
      </c>
      <c r="C250" t="s">
        <v>1184</v>
      </c>
      <c r="D250" t="s">
        <v>1182</v>
      </c>
      <c r="E250" t="s">
        <v>151</v>
      </c>
      <c r="F250" t="s">
        <v>1181</v>
      </c>
      <c r="H250" t="s">
        <v>86</v>
      </c>
      <c r="I250" t="s">
        <v>1183</v>
      </c>
    </row>
    <row r="251" spans="1:9" x14ac:dyDescent="0.35">
      <c r="A251" t="s">
        <v>1185</v>
      </c>
      <c r="B251" t="str">
        <f>"9780804773744"</f>
        <v>9780804773744</v>
      </c>
      <c r="C251" t="s">
        <v>1190</v>
      </c>
      <c r="D251" t="s">
        <v>1188</v>
      </c>
      <c r="E251" t="s">
        <v>1186</v>
      </c>
      <c r="F251" t="s">
        <v>1187</v>
      </c>
      <c r="H251" t="s">
        <v>22</v>
      </c>
      <c r="I251" t="s">
        <v>1189</v>
      </c>
    </row>
    <row r="252" spans="1:9" x14ac:dyDescent="0.35">
      <c r="A252" t="s">
        <v>1191</v>
      </c>
      <c r="B252" t="str">
        <f>"9780203852194"</f>
        <v>9780203852194</v>
      </c>
      <c r="C252" t="s">
        <v>1194</v>
      </c>
      <c r="D252" t="s">
        <v>1192</v>
      </c>
      <c r="E252" t="s">
        <v>9</v>
      </c>
      <c r="H252" t="s">
        <v>397</v>
      </c>
      <c r="I252" t="s">
        <v>1193</v>
      </c>
    </row>
    <row r="253" spans="1:9" x14ac:dyDescent="0.35">
      <c r="A253" t="s">
        <v>1195</v>
      </c>
      <c r="B253" t="str">
        <f>"9780804774178"</f>
        <v>9780804774178</v>
      </c>
      <c r="C253" t="s">
        <v>1198</v>
      </c>
      <c r="D253" t="s">
        <v>1196</v>
      </c>
      <c r="E253" t="s">
        <v>1186</v>
      </c>
      <c r="H253" t="s">
        <v>22</v>
      </c>
      <c r="I253" t="s">
        <v>1197</v>
      </c>
    </row>
    <row r="254" spans="1:9" x14ac:dyDescent="0.35">
      <c r="A254" t="s">
        <v>1199</v>
      </c>
      <c r="B254" t="str">
        <f>"9789042030251"</f>
        <v>9789042030251</v>
      </c>
      <c r="C254" t="s">
        <v>1203</v>
      </c>
      <c r="D254" t="s">
        <v>1201</v>
      </c>
      <c r="E254" t="s">
        <v>901</v>
      </c>
      <c r="F254" t="s">
        <v>1200</v>
      </c>
      <c r="H254" t="s">
        <v>349</v>
      </c>
      <c r="I254" t="s">
        <v>1202</v>
      </c>
    </row>
    <row r="255" spans="1:9" x14ac:dyDescent="0.35">
      <c r="A255" t="s">
        <v>1204</v>
      </c>
      <c r="B255" t="str">
        <f>"9780804773447"</f>
        <v>9780804773447</v>
      </c>
      <c r="C255" t="s">
        <v>1207</v>
      </c>
      <c r="D255" t="s">
        <v>1205</v>
      </c>
      <c r="E255" t="s">
        <v>1186</v>
      </c>
      <c r="H255" t="s">
        <v>75</v>
      </c>
      <c r="I255" t="s">
        <v>1206</v>
      </c>
    </row>
    <row r="256" spans="1:9" x14ac:dyDescent="0.35">
      <c r="A256" t="s">
        <v>1208</v>
      </c>
      <c r="B256" t="str">
        <f>"9781848134355"</f>
        <v>9781848134355</v>
      </c>
      <c r="C256" t="s">
        <v>1211</v>
      </c>
      <c r="D256" t="s">
        <v>1209</v>
      </c>
      <c r="E256" t="s">
        <v>493</v>
      </c>
      <c r="H256" t="s">
        <v>22</v>
      </c>
      <c r="I256" t="s">
        <v>1210</v>
      </c>
    </row>
    <row r="257" spans="1:9" x14ac:dyDescent="0.35">
      <c r="A257" t="s">
        <v>1212</v>
      </c>
      <c r="B257" t="str">
        <f>"9780816673377"</f>
        <v>9780816673377</v>
      </c>
      <c r="C257" t="s">
        <v>1215</v>
      </c>
      <c r="D257" t="s">
        <v>1213</v>
      </c>
      <c r="E257" t="s">
        <v>305</v>
      </c>
      <c r="H257" t="s">
        <v>22</v>
      </c>
      <c r="I257" t="s">
        <v>1214</v>
      </c>
    </row>
    <row r="258" spans="1:9" x14ac:dyDescent="0.35">
      <c r="A258" t="s">
        <v>1216</v>
      </c>
      <c r="B258" t="str">
        <f>"9780816667772"</f>
        <v>9780816667772</v>
      </c>
      <c r="C258" t="s">
        <v>1220</v>
      </c>
      <c r="D258" t="s">
        <v>1218</v>
      </c>
      <c r="E258" t="s">
        <v>305</v>
      </c>
      <c r="F258" t="s">
        <v>1217</v>
      </c>
      <c r="H258" t="s">
        <v>22</v>
      </c>
      <c r="I258" t="s">
        <v>1219</v>
      </c>
    </row>
    <row r="259" spans="1:9" x14ac:dyDescent="0.35">
      <c r="A259" t="s">
        <v>1221</v>
      </c>
      <c r="B259" t="str">
        <f>"9780313359262"</f>
        <v>9780313359262</v>
      </c>
      <c r="C259" t="s">
        <v>1224</v>
      </c>
      <c r="D259" t="s">
        <v>1222</v>
      </c>
      <c r="E259" t="s">
        <v>338</v>
      </c>
      <c r="H259" t="s">
        <v>22</v>
      </c>
      <c r="I259" t="s">
        <v>1223</v>
      </c>
    </row>
    <row r="260" spans="1:9" x14ac:dyDescent="0.35">
      <c r="A260" t="s">
        <v>1225</v>
      </c>
      <c r="B260" t="str">
        <f>"9789401205573"</f>
        <v>9789401205573</v>
      </c>
      <c r="C260" t="s">
        <v>1229</v>
      </c>
      <c r="D260" t="s">
        <v>1227</v>
      </c>
      <c r="E260" t="s">
        <v>901</v>
      </c>
      <c r="F260" t="s">
        <v>1226</v>
      </c>
      <c r="H260" t="s">
        <v>147</v>
      </c>
      <c r="I260" t="s">
        <v>1228</v>
      </c>
    </row>
    <row r="261" spans="1:9" x14ac:dyDescent="0.35">
      <c r="A261" t="s">
        <v>1230</v>
      </c>
      <c r="B261" t="str">
        <f>"9780203847558"</f>
        <v>9780203847558</v>
      </c>
      <c r="C261" t="s">
        <v>1233</v>
      </c>
      <c r="D261" t="s">
        <v>1231</v>
      </c>
      <c r="E261" t="s">
        <v>9</v>
      </c>
      <c r="H261" t="s">
        <v>22</v>
      </c>
      <c r="I261" t="s">
        <v>1232</v>
      </c>
    </row>
    <row r="262" spans="1:9" x14ac:dyDescent="0.35">
      <c r="A262" t="s">
        <v>1234</v>
      </c>
      <c r="B262" t="str">
        <f>"9780203849736"</f>
        <v>9780203849736</v>
      </c>
      <c r="C262" t="s">
        <v>1238</v>
      </c>
      <c r="D262" t="s">
        <v>1236</v>
      </c>
      <c r="E262" t="s">
        <v>9</v>
      </c>
      <c r="F262" t="s">
        <v>1235</v>
      </c>
      <c r="H262" t="s">
        <v>22</v>
      </c>
      <c r="I262" t="s">
        <v>1237</v>
      </c>
    </row>
    <row r="263" spans="1:9" x14ac:dyDescent="0.35">
      <c r="A263" t="s">
        <v>1239</v>
      </c>
      <c r="B263" t="str">
        <f>"9780203849200"</f>
        <v>9780203849200</v>
      </c>
      <c r="C263" t="s">
        <v>1242</v>
      </c>
      <c r="D263" t="s">
        <v>1240</v>
      </c>
      <c r="E263" t="s">
        <v>9</v>
      </c>
      <c r="F263" t="s">
        <v>791</v>
      </c>
      <c r="H263" t="s">
        <v>22</v>
      </c>
      <c r="I263" t="s">
        <v>1241</v>
      </c>
    </row>
    <row r="264" spans="1:9" x14ac:dyDescent="0.35">
      <c r="A264" t="s">
        <v>1243</v>
      </c>
      <c r="B264" t="str">
        <f>"9780203894972"</f>
        <v>9780203894972</v>
      </c>
      <c r="C264" t="s">
        <v>1246</v>
      </c>
      <c r="D264" t="s">
        <v>1244</v>
      </c>
      <c r="E264" t="s">
        <v>9</v>
      </c>
      <c r="F264" t="s">
        <v>993</v>
      </c>
      <c r="H264" t="s">
        <v>22</v>
      </c>
      <c r="I264" t="s">
        <v>1245</v>
      </c>
    </row>
    <row r="265" spans="1:9" x14ac:dyDescent="0.35">
      <c r="A265" t="s">
        <v>1247</v>
      </c>
      <c r="B265" t="str">
        <f>"9780807898345"</f>
        <v>9780807898345</v>
      </c>
      <c r="C265" t="s">
        <v>1250</v>
      </c>
      <c r="D265" t="s">
        <v>1248</v>
      </c>
      <c r="E265" t="s">
        <v>549</v>
      </c>
      <c r="H265" t="s">
        <v>531</v>
      </c>
      <c r="I265" t="s">
        <v>1249</v>
      </c>
    </row>
    <row r="266" spans="1:9" x14ac:dyDescent="0.35">
      <c r="A266" t="s">
        <v>1251</v>
      </c>
      <c r="B266" t="str">
        <f>"9780520947788"</f>
        <v>9780520947788</v>
      </c>
      <c r="C266" t="s">
        <v>1254</v>
      </c>
      <c r="D266" t="s">
        <v>1252</v>
      </c>
      <c r="E266" t="s">
        <v>84</v>
      </c>
      <c r="H266" t="s">
        <v>22</v>
      </c>
      <c r="I266" t="s">
        <v>1253</v>
      </c>
    </row>
    <row r="267" spans="1:9" x14ac:dyDescent="0.35">
      <c r="A267" t="s">
        <v>1255</v>
      </c>
      <c r="B267" t="str">
        <f>"9781589016149"</f>
        <v>9781589016149</v>
      </c>
      <c r="C267" t="s">
        <v>1260</v>
      </c>
      <c r="D267" t="s">
        <v>1258</v>
      </c>
      <c r="E267" t="s">
        <v>1256</v>
      </c>
      <c r="F267" t="s">
        <v>1257</v>
      </c>
      <c r="H267" t="s">
        <v>625</v>
      </c>
      <c r="I267" t="s">
        <v>1259</v>
      </c>
    </row>
    <row r="268" spans="1:9" x14ac:dyDescent="0.35">
      <c r="A268" t="s">
        <v>1261</v>
      </c>
      <c r="B268" t="str">
        <f>"9789047441618"</f>
        <v>9789047441618</v>
      </c>
      <c r="C268" t="s">
        <v>1264</v>
      </c>
      <c r="D268" t="s">
        <v>1262</v>
      </c>
      <c r="E268" t="s">
        <v>901</v>
      </c>
      <c r="H268" t="s">
        <v>397</v>
      </c>
      <c r="I268" t="s">
        <v>1263</v>
      </c>
    </row>
    <row r="269" spans="1:9" x14ac:dyDescent="0.35">
      <c r="A269" t="s">
        <v>1265</v>
      </c>
      <c r="B269" t="str">
        <f>"9780816673438"</f>
        <v>9780816673438</v>
      </c>
      <c r="C269" t="s">
        <v>1268</v>
      </c>
      <c r="D269" t="s">
        <v>1266</v>
      </c>
      <c r="E269" t="s">
        <v>305</v>
      </c>
      <c r="H269" t="s">
        <v>22</v>
      </c>
      <c r="I269" t="s">
        <v>1267</v>
      </c>
    </row>
    <row r="270" spans="1:9" x14ac:dyDescent="0.35">
      <c r="A270" t="s">
        <v>1269</v>
      </c>
      <c r="B270" t="str">
        <f>"9780203842201"</f>
        <v>9780203842201</v>
      </c>
      <c r="C270" t="s">
        <v>1273</v>
      </c>
      <c r="D270" t="s">
        <v>1270</v>
      </c>
      <c r="E270" t="s">
        <v>9</v>
      </c>
      <c r="H270" t="s">
        <v>1271</v>
      </c>
      <c r="I270" t="s">
        <v>1272</v>
      </c>
    </row>
    <row r="271" spans="1:9" x14ac:dyDescent="0.35">
      <c r="A271" t="s">
        <v>1274</v>
      </c>
      <c r="B271" t="str">
        <f>"9780567346636"</f>
        <v>9780567346636</v>
      </c>
      <c r="C271" t="s">
        <v>1277</v>
      </c>
      <c r="D271" t="s">
        <v>1275</v>
      </c>
      <c r="E271" t="s">
        <v>629</v>
      </c>
      <c r="H271" t="s">
        <v>163</v>
      </c>
      <c r="I271" t="s">
        <v>1276</v>
      </c>
    </row>
    <row r="272" spans="1:9" x14ac:dyDescent="0.35">
      <c r="A272" t="s">
        <v>1278</v>
      </c>
      <c r="B272" t="str">
        <f>"9781441193421"</f>
        <v>9781441193421</v>
      </c>
      <c r="C272" t="s">
        <v>1281</v>
      </c>
      <c r="D272" t="s">
        <v>1279</v>
      </c>
      <c r="E272" t="s">
        <v>629</v>
      </c>
      <c r="H272" t="s">
        <v>11</v>
      </c>
      <c r="I272" t="s">
        <v>1280</v>
      </c>
    </row>
    <row r="273" spans="1:9" x14ac:dyDescent="0.35">
      <c r="A273" t="s">
        <v>1282</v>
      </c>
      <c r="B273" t="str">
        <f>"9781409403944"</f>
        <v>9781409403944</v>
      </c>
      <c r="C273" t="s">
        <v>1285</v>
      </c>
      <c r="D273" t="s">
        <v>1283</v>
      </c>
      <c r="E273" t="s">
        <v>9</v>
      </c>
      <c r="F273" t="s">
        <v>759</v>
      </c>
      <c r="H273" t="s">
        <v>22</v>
      </c>
      <c r="I273" t="s">
        <v>1284</v>
      </c>
    </row>
    <row r="274" spans="1:9" x14ac:dyDescent="0.35">
      <c r="A274" t="s">
        <v>1286</v>
      </c>
      <c r="B274" t="str">
        <f>"9789221193180"</f>
        <v>9789221193180</v>
      </c>
      <c r="C274" t="s">
        <v>1289</v>
      </c>
      <c r="D274" t="s">
        <v>1287</v>
      </c>
      <c r="E274" t="s">
        <v>1287</v>
      </c>
      <c r="H274" t="s">
        <v>22</v>
      </c>
      <c r="I274" t="s">
        <v>1288</v>
      </c>
    </row>
    <row r="275" spans="1:9" x14ac:dyDescent="0.35">
      <c r="A275" t="s">
        <v>1290</v>
      </c>
      <c r="B275" t="str">
        <f>"9780807899649"</f>
        <v>9780807899649</v>
      </c>
      <c r="C275" t="s">
        <v>1293</v>
      </c>
      <c r="D275" t="s">
        <v>1291</v>
      </c>
      <c r="E275" t="s">
        <v>558</v>
      </c>
      <c r="H275" t="s">
        <v>38</v>
      </c>
      <c r="I275" t="s">
        <v>1292</v>
      </c>
    </row>
    <row r="276" spans="1:9" x14ac:dyDescent="0.35">
      <c r="A276" t="s">
        <v>1294</v>
      </c>
      <c r="B276" t="str">
        <f>"9780807899540"</f>
        <v>9780807899540</v>
      </c>
      <c r="C276" t="s">
        <v>1297</v>
      </c>
      <c r="D276" t="s">
        <v>1295</v>
      </c>
      <c r="E276" t="s">
        <v>558</v>
      </c>
      <c r="H276" t="s">
        <v>22</v>
      </c>
      <c r="I276" t="s">
        <v>1296</v>
      </c>
    </row>
    <row r="277" spans="1:9" x14ac:dyDescent="0.35">
      <c r="A277" t="s">
        <v>1298</v>
      </c>
      <c r="B277" t="str">
        <f>"9780807899373"</f>
        <v>9780807899373</v>
      </c>
      <c r="C277" t="s">
        <v>1301</v>
      </c>
      <c r="D277" t="s">
        <v>1299</v>
      </c>
      <c r="E277" t="s">
        <v>558</v>
      </c>
      <c r="H277" t="s">
        <v>397</v>
      </c>
      <c r="I277" t="s">
        <v>1300</v>
      </c>
    </row>
    <row r="278" spans="1:9" x14ac:dyDescent="0.35">
      <c r="A278" t="s">
        <v>1302</v>
      </c>
      <c r="B278" t="str">
        <f>"9780203835845"</f>
        <v>9780203835845</v>
      </c>
      <c r="C278" t="s">
        <v>1305</v>
      </c>
      <c r="D278" t="s">
        <v>1303</v>
      </c>
      <c r="E278" t="s">
        <v>9</v>
      </c>
      <c r="F278" t="s">
        <v>68</v>
      </c>
      <c r="H278" t="s">
        <v>22</v>
      </c>
      <c r="I278" t="s">
        <v>1304</v>
      </c>
    </row>
    <row r="279" spans="1:9" x14ac:dyDescent="0.35">
      <c r="A279" t="s">
        <v>1306</v>
      </c>
      <c r="B279" t="str">
        <f>"9780739146576"</f>
        <v>9780739146576</v>
      </c>
      <c r="C279" t="s">
        <v>1309</v>
      </c>
      <c r="D279" t="s">
        <v>1307</v>
      </c>
      <c r="E279" t="s">
        <v>887</v>
      </c>
      <c r="H279" t="s">
        <v>22</v>
      </c>
      <c r="I279" t="s">
        <v>1308</v>
      </c>
    </row>
    <row r="280" spans="1:9" x14ac:dyDescent="0.35">
      <c r="A280" t="s">
        <v>1310</v>
      </c>
      <c r="B280" t="str">
        <f>"9781442203839"</f>
        <v>9781442203839</v>
      </c>
      <c r="C280" t="s">
        <v>1315</v>
      </c>
      <c r="D280" t="s">
        <v>1312</v>
      </c>
      <c r="E280" t="s">
        <v>882</v>
      </c>
      <c r="F280" t="s">
        <v>1311</v>
      </c>
      <c r="H280" t="s">
        <v>1313</v>
      </c>
      <c r="I280" t="s">
        <v>1314</v>
      </c>
    </row>
    <row r="281" spans="1:9" x14ac:dyDescent="0.35">
      <c r="A281" t="s">
        <v>1316</v>
      </c>
      <c r="B281" t="str">
        <f>"9781441182982"</f>
        <v>9781441182982</v>
      </c>
      <c r="C281" t="s">
        <v>1319</v>
      </c>
      <c r="D281" t="s">
        <v>1317</v>
      </c>
      <c r="E281" t="s">
        <v>629</v>
      </c>
      <c r="H281" t="s">
        <v>147</v>
      </c>
      <c r="I281" t="s">
        <v>1318</v>
      </c>
    </row>
    <row r="282" spans="1:9" x14ac:dyDescent="0.35">
      <c r="A282" t="s">
        <v>1320</v>
      </c>
      <c r="B282" t="str">
        <f>"9780816675203"</f>
        <v>9780816675203</v>
      </c>
      <c r="C282" t="s">
        <v>1323</v>
      </c>
      <c r="D282" t="s">
        <v>1321</v>
      </c>
      <c r="E282" t="s">
        <v>305</v>
      </c>
      <c r="H282" t="s">
        <v>330</v>
      </c>
      <c r="I282" t="s">
        <v>1322</v>
      </c>
    </row>
    <row r="283" spans="1:9" x14ac:dyDescent="0.35">
      <c r="A283" t="s">
        <v>1324</v>
      </c>
      <c r="B283" t="str">
        <f>"9780816675364"</f>
        <v>9780816675364</v>
      </c>
      <c r="C283" t="s">
        <v>1328</v>
      </c>
      <c r="D283" t="s">
        <v>1325</v>
      </c>
      <c r="E283" t="s">
        <v>305</v>
      </c>
      <c r="H283" t="s">
        <v>1326</v>
      </c>
      <c r="I283" t="s">
        <v>1327</v>
      </c>
    </row>
    <row r="284" spans="1:9" x14ac:dyDescent="0.35">
      <c r="A284" t="s">
        <v>1329</v>
      </c>
      <c r="B284" t="str">
        <f>"9789027288752"</f>
        <v>9789027288752</v>
      </c>
      <c r="C284" t="s">
        <v>1333</v>
      </c>
      <c r="D284" t="s">
        <v>1331</v>
      </c>
      <c r="E284" t="s">
        <v>1330</v>
      </c>
      <c r="H284" t="s">
        <v>330</v>
      </c>
      <c r="I284" t="s">
        <v>1332</v>
      </c>
    </row>
    <row r="285" spans="1:9" x14ac:dyDescent="0.35">
      <c r="A285" t="s">
        <v>1334</v>
      </c>
      <c r="B285" t="str">
        <f>"9789027295705"</f>
        <v>9789027295705</v>
      </c>
      <c r="C285" t="s">
        <v>1338</v>
      </c>
      <c r="D285" t="s">
        <v>1335</v>
      </c>
      <c r="E285" t="s">
        <v>1330</v>
      </c>
      <c r="H285" t="s">
        <v>1336</v>
      </c>
      <c r="I285" t="s">
        <v>1337</v>
      </c>
    </row>
    <row r="286" spans="1:9" x14ac:dyDescent="0.35">
      <c r="A286" t="s">
        <v>1339</v>
      </c>
      <c r="B286" t="str">
        <f>"9789027287502"</f>
        <v>9789027287502</v>
      </c>
      <c r="C286" t="s">
        <v>1342</v>
      </c>
      <c r="D286" t="s">
        <v>1340</v>
      </c>
      <c r="E286" t="s">
        <v>1330</v>
      </c>
      <c r="H286" t="s">
        <v>470</v>
      </c>
      <c r="I286" t="s">
        <v>1341</v>
      </c>
    </row>
    <row r="287" spans="1:9" x14ac:dyDescent="0.35">
      <c r="A287" t="s">
        <v>1343</v>
      </c>
      <c r="B287" t="str">
        <f>"9789042032422"</f>
        <v>9789042032422</v>
      </c>
      <c r="C287" t="s">
        <v>1347</v>
      </c>
      <c r="D287" t="s">
        <v>1345</v>
      </c>
      <c r="E287" t="s">
        <v>901</v>
      </c>
      <c r="F287" t="s">
        <v>1344</v>
      </c>
      <c r="H287" t="s">
        <v>330</v>
      </c>
      <c r="I287" t="s">
        <v>1346</v>
      </c>
    </row>
    <row r="288" spans="1:9" x14ac:dyDescent="0.35">
      <c r="A288" t="s">
        <v>1348</v>
      </c>
      <c r="B288" t="str">
        <f>"9780253004956"</f>
        <v>9780253004956</v>
      </c>
      <c r="C288" t="s">
        <v>1351</v>
      </c>
      <c r="D288" t="s">
        <v>1349</v>
      </c>
      <c r="E288" t="s">
        <v>110</v>
      </c>
      <c r="H288" t="s">
        <v>147</v>
      </c>
      <c r="I288" t="s">
        <v>1350</v>
      </c>
    </row>
    <row r="289" spans="1:9" x14ac:dyDescent="0.35">
      <c r="A289" t="s">
        <v>1352</v>
      </c>
      <c r="B289" t="str">
        <f>"9781848134768"</f>
        <v>9781848134768</v>
      </c>
      <c r="C289" t="s">
        <v>1355</v>
      </c>
      <c r="D289" t="s">
        <v>1353</v>
      </c>
      <c r="E289" t="s">
        <v>493</v>
      </c>
      <c r="H289" t="s">
        <v>22</v>
      </c>
      <c r="I289" t="s">
        <v>1354</v>
      </c>
    </row>
    <row r="290" spans="1:9" x14ac:dyDescent="0.35">
      <c r="A290" t="s">
        <v>1356</v>
      </c>
      <c r="B290" t="str">
        <f>"9781578604616"</f>
        <v>9781578604616</v>
      </c>
      <c r="C290" t="s">
        <v>1360</v>
      </c>
      <c r="D290" t="s">
        <v>1358</v>
      </c>
      <c r="E290" t="s">
        <v>1357</v>
      </c>
      <c r="H290" t="s">
        <v>116</v>
      </c>
      <c r="I290" t="s">
        <v>1359</v>
      </c>
    </row>
    <row r="291" spans="1:9" x14ac:dyDescent="0.35">
      <c r="A291" t="s">
        <v>1361</v>
      </c>
      <c r="B291" t="str">
        <f>"9789004181205"</f>
        <v>9789004181205</v>
      </c>
      <c r="C291" t="s">
        <v>1365</v>
      </c>
      <c r="D291" t="s">
        <v>1363</v>
      </c>
      <c r="E291" t="s">
        <v>901</v>
      </c>
      <c r="F291" t="s">
        <v>1362</v>
      </c>
      <c r="H291" t="s">
        <v>163</v>
      </c>
      <c r="I291" t="s">
        <v>1364</v>
      </c>
    </row>
    <row r="292" spans="1:9" x14ac:dyDescent="0.35">
      <c r="A292" t="s">
        <v>1366</v>
      </c>
      <c r="B292" t="str">
        <f>"9789047444084"</f>
        <v>9789047444084</v>
      </c>
      <c r="C292" t="s">
        <v>1370</v>
      </c>
      <c r="D292" t="s">
        <v>1368</v>
      </c>
      <c r="E292" t="s">
        <v>901</v>
      </c>
      <c r="F292" t="s">
        <v>1367</v>
      </c>
      <c r="H292" t="s">
        <v>22</v>
      </c>
      <c r="I292" t="s">
        <v>1369</v>
      </c>
    </row>
    <row r="293" spans="1:9" x14ac:dyDescent="0.35">
      <c r="A293" t="s">
        <v>1371</v>
      </c>
      <c r="B293" t="str">
        <f>"9780816674930"</f>
        <v>9780816674930</v>
      </c>
      <c r="C293" t="s">
        <v>1374</v>
      </c>
      <c r="D293" t="s">
        <v>1372</v>
      </c>
      <c r="E293" t="s">
        <v>305</v>
      </c>
      <c r="H293" t="s">
        <v>209</v>
      </c>
      <c r="I293" t="s">
        <v>1373</v>
      </c>
    </row>
    <row r="294" spans="1:9" x14ac:dyDescent="0.35">
      <c r="A294" t="s">
        <v>1375</v>
      </c>
      <c r="B294" t="str">
        <f>"9780821380703"</f>
        <v>9780821380703</v>
      </c>
      <c r="C294" t="s">
        <v>1378</v>
      </c>
      <c r="D294" t="s">
        <v>1376</v>
      </c>
      <c r="E294" t="s">
        <v>863</v>
      </c>
      <c r="H294" t="s">
        <v>70</v>
      </c>
      <c r="I294" t="s">
        <v>1377</v>
      </c>
    </row>
    <row r="295" spans="1:9" x14ac:dyDescent="0.35">
      <c r="A295" t="s">
        <v>1379</v>
      </c>
      <c r="B295" t="str">
        <f>"9780203864562"</f>
        <v>9780203864562</v>
      </c>
      <c r="C295" t="s">
        <v>1382</v>
      </c>
      <c r="D295" t="s">
        <v>1380</v>
      </c>
      <c r="E295" t="s">
        <v>9</v>
      </c>
      <c r="H295" t="s">
        <v>330</v>
      </c>
      <c r="I295" t="s">
        <v>1381</v>
      </c>
    </row>
    <row r="296" spans="1:9" x14ac:dyDescent="0.35">
      <c r="A296" t="s">
        <v>1383</v>
      </c>
      <c r="B296" t="str">
        <f>"9780203872222"</f>
        <v>9780203872222</v>
      </c>
      <c r="C296" t="s">
        <v>1386</v>
      </c>
      <c r="D296" t="s">
        <v>1384</v>
      </c>
      <c r="E296" t="s">
        <v>9</v>
      </c>
      <c r="H296" t="s">
        <v>22</v>
      </c>
      <c r="I296" t="s">
        <v>1385</v>
      </c>
    </row>
    <row r="297" spans="1:9" x14ac:dyDescent="0.35">
      <c r="A297" t="s">
        <v>1387</v>
      </c>
      <c r="B297" t="str">
        <f>"9780203879870"</f>
        <v>9780203879870</v>
      </c>
      <c r="C297" t="s">
        <v>1391</v>
      </c>
      <c r="D297" t="s">
        <v>1389</v>
      </c>
      <c r="E297" t="s">
        <v>9</v>
      </c>
      <c r="F297" t="s">
        <v>1388</v>
      </c>
      <c r="H297" t="s">
        <v>330</v>
      </c>
      <c r="I297" t="s">
        <v>1390</v>
      </c>
    </row>
    <row r="298" spans="1:9" x14ac:dyDescent="0.35">
      <c r="A298" t="s">
        <v>1392</v>
      </c>
      <c r="B298" t="str">
        <f>"9780203881651"</f>
        <v>9780203881651</v>
      </c>
      <c r="C298" t="s">
        <v>1395</v>
      </c>
      <c r="D298" t="s">
        <v>1393</v>
      </c>
      <c r="E298" t="s">
        <v>9</v>
      </c>
      <c r="F298" t="s">
        <v>1388</v>
      </c>
      <c r="H298" t="s">
        <v>406</v>
      </c>
      <c r="I298" t="s">
        <v>1394</v>
      </c>
    </row>
    <row r="299" spans="1:9" x14ac:dyDescent="0.35">
      <c r="A299" t="s">
        <v>1396</v>
      </c>
      <c r="B299" t="str">
        <f>"9781607506515"</f>
        <v>9781607506515</v>
      </c>
      <c r="C299" t="s">
        <v>1402</v>
      </c>
      <c r="D299" t="s">
        <v>1399</v>
      </c>
      <c r="E299" t="s">
        <v>1397</v>
      </c>
      <c r="F299" t="s">
        <v>1398</v>
      </c>
      <c r="H299" t="s">
        <v>1400</v>
      </c>
      <c r="I299" t="s">
        <v>1401</v>
      </c>
    </row>
    <row r="300" spans="1:9" x14ac:dyDescent="0.35">
      <c r="A300" t="s">
        <v>1403</v>
      </c>
      <c r="B300" t="str">
        <f>"9780816675371"</f>
        <v>9780816675371</v>
      </c>
      <c r="C300" t="s">
        <v>1406</v>
      </c>
      <c r="D300" t="s">
        <v>1404</v>
      </c>
      <c r="E300" t="s">
        <v>305</v>
      </c>
      <c r="H300" t="s">
        <v>22</v>
      </c>
      <c r="I300" t="s">
        <v>1405</v>
      </c>
    </row>
    <row r="301" spans="1:9" x14ac:dyDescent="0.35">
      <c r="A301" t="s">
        <v>1407</v>
      </c>
      <c r="B301" t="str">
        <f>"9780203831533"</f>
        <v>9780203831533</v>
      </c>
      <c r="C301" t="s">
        <v>1411</v>
      </c>
      <c r="D301" t="s">
        <v>1409</v>
      </c>
      <c r="E301" t="s">
        <v>9</v>
      </c>
      <c r="F301" t="s">
        <v>1408</v>
      </c>
      <c r="H301" t="s">
        <v>22</v>
      </c>
      <c r="I301" t="s">
        <v>1410</v>
      </c>
    </row>
    <row r="302" spans="1:9" x14ac:dyDescent="0.35">
      <c r="A302" t="s">
        <v>1412</v>
      </c>
      <c r="B302" t="str">
        <f>"9780739144909"</f>
        <v>9780739144909</v>
      </c>
      <c r="C302" t="s">
        <v>1416</v>
      </c>
      <c r="D302" t="s">
        <v>1413</v>
      </c>
      <c r="E302" t="s">
        <v>887</v>
      </c>
      <c r="H302" t="s">
        <v>1414</v>
      </c>
      <c r="I302" t="s">
        <v>1415</v>
      </c>
    </row>
    <row r="303" spans="1:9" x14ac:dyDescent="0.35">
      <c r="A303" t="s">
        <v>1417</v>
      </c>
      <c r="B303" t="str">
        <f>"9780520948211"</f>
        <v>9780520948211</v>
      </c>
      <c r="C303" t="s">
        <v>1420</v>
      </c>
      <c r="D303" t="s">
        <v>1418</v>
      </c>
      <c r="E303" t="s">
        <v>84</v>
      </c>
      <c r="H303" t="s">
        <v>22</v>
      </c>
      <c r="I303" t="s">
        <v>1419</v>
      </c>
    </row>
    <row r="304" spans="1:9" x14ac:dyDescent="0.35">
      <c r="A304" t="s">
        <v>1421</v>
      </c>
      <c r="B304" t="str">
        <f>"9780826120182"</f>
        <v>9780826120182</v>
      </c>
      <c r="C304" t="s">
        <v>1425</v>
      </c>
      <c r="D304" t="s">
        <v>1423</v>
      </c>
      <c r="E304" t="s">
        <v>1422</v>
      </c>
      <c r="H304" t="s">
        <v>406</v>
      </c>
      <c r="I304" t="s">
        <v>1424</v>
      </c>
    </row>
    <row r="305" spans="1:9" x14ac:dyDescent="0.35">
      <c r="A305" t="s">
        <v>1426</v>
      </c>
      <c r="B305" t="str">
        <f>"9780226395869"</f>
        <v>9780226395869</v>
      </c>
      <c r="C305" t="s">
        <v>1429</v>
      </c>
      <c r="D305" t="s">
        <v>1427</v>
      </c>
      <c r="E305" t="s">
        <v>535</v>
      </c>
      <c r="H305" t="s">
        <v>237</v>
      </c>
      <c r="I305" t="s">
        <v>1428</v>
      </c>
    </row>
    <row r="306" spans="1:9" x14ac:dyDescent="0.35">
      <c r="A306" t="s">
        <v>1430</v>
      </c>
      <c r="B306" t="str">
        <f>"9780821374351"</f>
        <v>9780821374351</v>
      </c>
      <c r="C306" t="s">
        <v>1435</v>
      </c>
      <c r="D306" t="s">
        <v>1432</v>
      </c>
      <c r="E306" t="s">
        <v>863</v>
      </c>
      <c r="F306" t="s">
        <v>1431</v>
      </c>
      <c r="H306" t="s">
        <v>1433</v>
      </c>
      <c r="I306" t="s">
        <v>1434</v>
      </c>
    </row>
    <row r="307" spans="1:9" x14ac:dyDescent="0.35">
      <c r="A307" t="s">
        <v>1436</v>
      </c>
      <c r="B307" t="str">
        <f>"9781442200234"</f>
        <v>9781442200234</v>
      </c>
      <c r="C307" t="s">
        <v>1439</v>
      </c>
      <c r="D307" t="s">
        <v>1437</v>
      </c>
      <c r="E307" t="s">
        <v>882</v>
      </c>
      <c r="H307" t="s">
        <v>22</v>
      </c>
      <c r="I307" t="s">
        <v>1438</v>
      </c>
    </row>
    <row r="308" spans="1:9" x14ac:dyDescent="0.35">
      <c r="A308" t="s">
        <v>1440</v>
      </c>
      <c r="B308" t="str">
        <f>"9781442200388"</f>
        <v>9781442200388</v>
      </c>
      <c r="C308" t="s">
        <v>1443</v>
      </c>
      <c r="D308" t="s">
        <v>1441</v>
      </c>
      <c r="E308" t="s">
        <v>882</v>
      </c>
      <c r="H308" t="s">
        <v>17</v>
      </c>
      <c r="I308" t="s">
        <v>1442</v>
      </c>
    </row>
    <row r="309" spans="1:9" x14ac:dyDescent="0.35">
      <c r="A309" t="s">
        <v>1444</v>
      </c>
      <c r="B309" t="str">
        <f>"9780739143841"</f>
        <v>9780739143841</v>
      </c>
      <c r="C309" t="s">
        <v>1448</v>
      </c>
      <c r="D309" t="s">
        <v>1446</v>
      </c>
      <c r="E309" t="s">
        <v>887</v>
      </c>
      <c r="F309" t="s">
        <v>1445</v>
      </c>
      <c r="H309" t="s">
        <v>250</v>
      </c>
      <c r="I309" t="s">
        <v>1447</v>
      </c>
    </row>
    <row r="310" spans="1:9" x14ac:dyDescent="0.35">
      <c r="A310" t="s">
        <v>1449</v>
      </c>
      <c r="B310" t="str">
        <f>"9781409425373"</f>
        <v>9781409425373</v>
      </c>
      <c r="C310" t="s">
        <v>1453</v>
      </c>
      <c r="D310" t="s">
        <v>1451</v>
      </c>
      <c r="E310" t="s">
        <v>9</v>
      </c>
      <c r="F310" t="s">
        <v>1450</v>
      </c>
      <c r="H310" t="s">
        <v>22</v>
      </c>
      <c r="I310" t="s">
        <v>1452</v>
      </c>
    </row>
    <row r="311" spans="1:9" x14ac:dyDescent="0.35">
      <c r="A311" t="s">
        <v>1454</v>
      </c>
      <c r="B311" t="str">
        <f>"9780199720118"</f>
        <v>9780199720118</v>
      </c>
      <c r="C311" t="s">
        <v>1457</v>
      </c>
      <c r="D311" t="s">
        <v>1455</v>
      </c>
      <c r="E311" t="s">
        <v>167</v>
      </c>
      <c r="F311" t="s">
        <v>658</v>
      </c>
      <c r="H311" t="s">
        <v>674</v>
      </c>
      <c r="I311" t="s">
        <v>1456</v>
      </c>
    </row>
    <row r="312" spans="1:9" x14ac:dyDescent="0.35">
      <c r="A312" t="s">
        <v>1458</v>
      </c>
      <c r="B312" t="str">
        <f>"9781139011051"</f>
        <v>9781139011051</v>
      </c>
      <c r="C312" t="s">
        <v>1462</v>
      </c>
      <c r="D312" t="s">
        <v>1459</v>
      </c>
      <c r="E312" t="s">
        <v>390</v>
      </c>
      <c r="H312" t="s">
        <v>1460</v>
      </c>
      <c r="I312" t="s">
        <v>1461</v>
      </c>
    </row>
    <row r="313" spans="1:9" x14ac:dyDescent="0.35">
      <c r="A313" t="s">
        <v>1463</v>
      </c>
      <c r="B313" t="str">
        <f>"9780203831410"</f>
        <v>9780203831410</v>
      </c>
      <c r="C313" t="s">
        <v>1467</v>
      </c>
      <c r="D313" t="s">
        <v>1465</v>
      </c>
      <c r="E313" t="s">
        <v>9</v>
      </c>
      <c r="F313" t="s">
        <v>1464</v>
      </c>
      <c r="H313" t="s">
        <v>147</v>
      </c>
      <c r="I313" t="s">
        <v>1466</v>
      </c>
    </row>
    <row r="314" spans="1:9" x14ac:dyDescent="0.35">
      <c r="A314" t="s">
        <v>1468</v>
      </c>
      <c r="B314" t="str">
        <f>"9780203827802"</f>
        <v>9780203827802</v>
      </c>
      <c r="C314" t="s">
        <v>1472</v>
      </c>
      <c r="D314" t="s">
        <v>1470</v>
      </c>
      <c r="E314" t="s">
        <v>9</v>
      </c>
      <c r="F314" t="s">
        <v>1469</v>
      </c>
      <c r="H314" t="s">
        <v>209</v>
      </c>
      <c r="I314" t="s">
        <v>1471</v>
      </c>
    </row>
    <row r="315" spans="1:9" x14ac:dyDescent="0.35">
      <c r="A315" t="s">
        <v>1473</v>
      </c>
      <c r="B315" t="str">
        <f>"9781572336889"</f>
        <v>9781572336889</v>
      </c>
      <c r="C315" t="s">
        <v>1477</v>
      </c>
      <c r="D315" t="s">
        <v>1475</v>
      </c>
      <c r="E315" t="s">
        <v>1474</v>
      </c>
      <c r="H315" t="s">
        <v>147</v>
      </c>
      <c r="I315" t="s">
        <v>1476</v>
      </c>
    </row>
    <row r="316" spans="1:9" x14ac:dyDescent="0.35">
      <c r="A316" t="s">
        <v>1478</v>
      </c>
      <c r="B316" t="str">
        <f>"9781572337114"</f>
        <v>9781572337114</v>
      </c>
      <c r="C316" t="s">
        <v>1481</v>
      </c>
      <c r="D316" t="s">
        <v>1479</v>
      </c>
      <c r="E316" t="s">
        <v>1474</v>
      </c>
      <c r="H316" t="s">
        <v>147</v>
      </c>
      <c r="I316" t="s">
        <v>1480</v>
      </c>
    </row>
    <row r="317" spans="1:9" x14ac:dyDescent="0.35">
      <c r="A317" t="s">
        <v>1482</v>
      </c>
      <c r="B317" t="str">
        <f>"9780520949492"</f>
        <v>9780520949492</v>
      </c>
      <c r="C317" t="s">
        <v>1485</v>
      </c>
      <c r="D317" t="s">
        <v>1483</v>
      </c>
      <c r="E317" t="s">
        <v>84</v>
      </c>
      <c r="H317" t="s">
        <v>636</v>
      </c>
      <c r="I317" t="s">
        <v>1484</v>
      </c>
    </row>
    <row r="318" spans="1:9" x14ac:dyDescent="0.35">
      <c r="A318" t="s">
        <v>1486</v>
      </c>
      <c r="B318" t="str">
        <f>"9780253005120"</f>
        <v>9780253005120</v>
      </c>
      <c r="C318" t="s">
        <v>1489</v>
      </c>
      <c r="D318" t="s">
        <v>1487</v>
      </c>
      <c r="E318" t="s">
        <v>110</v>
      </c>
      <c r="H318" t="s">
        <v>22</v>
      </c>
      <c r="I318" t="s">
        <v>1488</v>
      </c>
    </row>
    <row r="319" spans="1:9" x14ac:dyDescent="0.35">
      <c r="A319" t="s">
        <v>1490</v>
      </c>
      <c r="B319" t="str">
        <f>"9780203839003"</f>
        <v>9780203839003</v>
      </c>
      <c r="C319" t="s">
        <v>1494</v>
      </c>
      <c r="D319" t="s">
        <v>1492</v>
      </c>
      <c r="E319" t="s">
        <v>9</v>
      </c>
      <c r="F319" t="s">
        <v>1491</v>
      </c>
      <c r="H319" t="s">
        <v>209</v>
      </c>
      <c r="I319" t="s">
        <v>1493</v>
      </c>
    </row>
    <row r="320" spans="1:9" x14ac:dyDescent="0.35">
      <c r="A320" t="s">
        <v>1495</v>
      </c>
      <c r="B320" t="str">
        <f>"9780816676835"</f>
        <v>9780816676835</v>
      </c>
      <c r="C320" t="s">
        <v>1498</v>
      </c>
      <c r="D320" t="s">
        <v>1496</v>
      </c>
      <c r="E320" t="s">
        <v>305</v>
      </c>
      <c r="H320" t="s">
        <v>147</v>
      </c>
      <c r="I320" t="s">
        <v>1497</v>
      </c>
    </row>
    <row r="321" spans="1:9" x14ac:dyDescent="0.35">
      <c r="A321" t="s">
        <v>1499</v>
      </c>
      <c r="B321" t="str">
        <f>"9789888052615"</f>
        <v>9789888052615</v>
      </c>
      <c r="C321" t="s">
        <v>1504</v>
      </c>
      <c r="D321" t="s">
        <v>1502</v>
      </c>
      <c r="E321" t="s">
        <v>1500</v>
      </c>
      <c r="F321" t="s">
        <v>1501</v>
      </c>
      <c r="H321" t="s">
        <v>22</v>
      </c>
      <c r="I321" t="s">
        <v>1503</v>
      </c>
    </row>
    <row r="322" spans="1:9" x14ac:dyDescent="0.35">
      <c r="A322" t="s">
        <v>1505</v>
      </c>
      <c r="B322" t="str">
        <f>"9789882205727"</f>
        <v>9789882205727</v>
      </c>
      <c r="C322" t="s">
        <v>1509</v>
      </c>
      <c r="D322" t="s">
        <v>1507</v>
      </c>
      <c r="E322" t="s">
        <v>1500</v>
      </c>
      <c r="F322" t="s">
        <v>1506</v>
      </c>
      <c r="H322" t="s">
        <v>22</v>
      </c>
      <c r="I322" t="s">
        <v>1508</v>
      </c>
    </row>
    <row r="323" spans="1:9" x14ac:dyDescent="0.35">
      <c r="A323" t="s">
        <v>1510</v>
      </c>
      <c r="B323" t="str">
        <f>"9781598747270"</f>
        <v>9781598747270</v>
      </c>
      <c r="C323" t="s">
        <v>1514</v>
      </c>
      <c r="D323" t="s">
        <v>1512</v>
      </c>
      <c r="E323" t="s">
        <v>9</v>
      </c>
      <c r="F323" t="s">
        <v>1511</v>
      </c>
      <c r="H323" t="s">
        <v>22</v>
      </c>
      <c r="I323" t="s">
        <v>1513</v>
      </c>
    </row>
    <row r="324" spans="1:9" x14ac:dyDescent="0.35">
      <c r="A324" t="s">
        <v>1515</v>
      </c>
      <c r="B324" t="str">
        <f>"9780313384615"</f>
        <v>9780313384615</v>
      </c>
      <c r="C324" t="s">
        <v>1518</v>
      </c>
      <c r="D324" t="s">
        <v>1516</v>
      </c>
      <c r="E324" t="s">
        <v>338</v>
      </c>
      <c r="H324" t="s">
        <v>22</v>
      </c>
      <c r="I324" t="s">
        <v>1517</v>
      </c>
    </row>
    <row r="325" spans="1:9" x14ac:dyDescent="0.35">
      <c r="A325" t="s">
        <v>1519</v>
      </c>
      <c r="B325" t="str">
        <f>"9780816676651"</f>
        <v>9780816676651</v>
      </c>
      <c r="C325" t="s">
        <v>1522</v>
      </c>
      <c r="D325" t="s">
        <v>1520</v>
      </c>
      <c r="E325" t="s">
        <v>305</v>
      </c>
      <c r="H325" t="s">
        <v>147</v>
      </c>
      <c r="I325" t="s">
        <v>1521</v>
      </c>
    </row>
    <row r="326" spans="1:9" x14ac:dyDescent="0.35">
      <c r="A326" t="s">
        <v>1523</v>
      </c>
      <c r="B326" t="str">
        <f>"9780816676743"</f>
        <v>9780816676743</v>
      </c>
      <c r="C326" t="s">
        <v>1526</v>
      </c>
      <c r="D326" t="s">
        <v>1524</v>
      </c>
      <c r="E326" t="s">
        <v>305</v>
      </c>
      <c r="H326" t="s">
        <v>147</v>
      </c>
      <c r="I326" t="s">
        <v>1525</v>
      </c>
    </row>
    <row r="327" spans="1:9" x14ac:dyDescent="0.35">
      <c r="A327" t="s">
        <v>1527</v>
      </c>
      <c r="B327" t="str">
        <f>"9781409406525"</f>
        <v>9781409406525</v>
      </c>
      <c r="C327" t="s">
        <v>1530</v>
      </c>
      <c r="D327" t="s">
        <v>1528</v>
      </c>
      <c r="E327" t="s">
        <v>9</v>
      </c>
      <c r="F327" t="s">
        <v>1450</v>
      </c>
      <c r="H327" t="s">
        <v>147</v>
      </c>
      <c r="I327" t="s">
        <v>1529</v>
      </c>
    </row>
    <row r="328" spans="1:9" x14ac:dyDescent="0.35">
      <c r="A328" t="s">
        <v>1531</v>
      </c>
      <c r="B328" t="str">
        <f>"9780804776370"</f>
        <v>9780804776370</v>
      </c>
      <c r="C328" t="s">
        <v>1536</v>
      </c>
      <c r="D328" t="s">
        <v>1533</v>
      </c>
      <c r="E328" t="s">
        <v>1186</v>
      </c>
      <c r="F328" t="s">
        <v>1532</v>
      </c>
      <c r="H328" t="s">
        <v>1534</v>
      </c>
      <c r="I328" t="s">
        <v>1535</v>
      </c>
    </row>
    <row r="329" spans="1:9" x14ac:dyDescent="0.35">
      <c r="A329" t="s">
        <v>1537</v>
      </c>
      <c r="B329" t="str">
        <f>"9780203828441"</f>
        <v>9780203828441</v>
      </c>
      <c r="C329" t="s">
        <v>1541</v>
      </c>
      <c r="D329" t="s">
        <v>1539</v>
      </c>
      <c r="E329" t="s">
        <v>9</v>
      </c>
      <c r="F329" t="s">
        <v>1538</v>
      </c>
      <c r="H329" t="s">
        <v>22</v>
      </c>
      <c r="I329" t="s">
        <v>1540</v>
      </c>
    </row>
    <row r="330" spans="1:9" x14ac:dyDescent="0.35">
      <c r="A330" t="s">
        <v>1542</v>
      </c>
      <c r="B330" t="str">
        <f>"9780203833056"</f>
        <v>9780203833056</v>
      </c>
      <c r="C330" t="s">
        <v>1545</v>
      </c>
      <c r="D330" t="s">
        <v>1543</v>
      </c>
      <c r="E330" t="s">
        <v>9</v>
      </c>
      <c r="H330" t="s">
        <v>209</v>
      </c>
      <c r="I330" t="s">
        <v>1544</v>
      </c>
    </row>
    <row r="331" spans="1:9" x14ac:dyDescent="0.35">
      <c r="A331" t="s">
        <v>1546</v>
      </c>
      <c r="B331" t="str">
        <f>"9781554582891"</f>
        <v>9781554582891</v>
      </c>
      <c r="C331" t="s">
        <v>1551</v>
      </c>
      <c r="D331" t="s">
        <v>1549</v>
      </c>
      <c r="E331" t="s">
        <v>1547</v>
      </c>
      <c r="F331" t="s">
        <v>1548</v>
      </c>
      <c r="H331" t="s">
        <v>86</v>
      </c>
      <c r="I331" t="s">
        <v>1550</v>
      </c>
    </row>
    <row r="332" spans="1:9" x14ac:dyDescent="0.35">
      <c r="A332" t="s">
        <v>1552</v>
      </c>
      <c r="B332" t="str">
        <f>"9780739149881"</f>
        <v>9780739149881</v>
      </c>
      <c r="C332" t="s">
        <v>1555</v>
      </c>
      <c r="D332" t="s">
        <v>1553</v>
      </c>
      <c r="E332" t="s">
        <v>887</v>
      </c>
      <c r="H332" t="s">
        <v>625</v>
      </c>
      <c r="I332" t="s">
        <v>1554</v>
      </c>
    </row>
    <row r="333" spans="1:9" x14ac:dyDescent="0.35">
      <c r="A333" t="s">
        <v>1556</v>
      </c>
      <c r="B333" t="str">
        <f>"9780226470337"</f>
        <v>9780226470337</v>
      </c>
      <c r="C333" t="s">
        <v>1559</v>
      </c>
      <c r="D333" t="s">
        <v>1557</v>
      </c>
      <c r="E333" t="s">
        <v>535</v>
      </c>
      <c r="H333" t="s">
        <v>22</v>
      </c>
      <c r="I333" t="s">
        <v>1558</v>
      </c>
    </row>
    <row r="334" spans="1:9" x14ac:dyDescent="0.35">
      <c r="A334" t="s">
        <v>1560</v>
      </c>
      <c r="B334" t="str">
        <f>"9781446209936"</f>
        <v>9781446209936</v>
      </c>
      <c r="C334" t="s">
        <v>1564</v>
      </c>
      <c r="D334" t="s">
        <v>1562</v>
      </c>
      <c r="E334" t="s">
        <v>130</v>
      </c>
      <c r="F334" t="s">
        <v>1561</v>
      </c>
      <c r="H334" t="s">
        <v>377</v>
      </c>
      <c r="I334" t="s">
        <v>1563</v>
      </c>
    </row>
    <row r="335" spans="1:9" x14ac:dyDescent="0.35">
      <c r="A335" t="s">
        <v>1565</v>
      </c>
      <c r="B335" t="str">
        <f>"9780739134238"</f>
        <v>9780739134238</v>
      </c>
      <c r="C335" t="s">
        <v>1568</v>
      </c>
      <c r="D335" t="s">
        <v>1566</v>
      </c>
      <c r="E335" t="s">
        <v>887</v>
      </c>
      <c r="H335" t="s">
        <v>250</v>
      </c>
      <c r="I335" t="s">
        <v>1567</v>
      </c>
    </row>
    <row r="336" spans="1:9" x14ac:dyDescent="0.35">
      <c r="A336" t="s">
        <v>1569</v>
      </c>
      <c r="B336" t="str">
        <f>"9781849406598"</f>
        <v>9781849406598</v>
      </c>
      <c r="C336" t="s">
        <v>1573</v>
      </c>
      <c r="D336" t="s">
        <v>1571</v>
      </c>
      <c r="E336" t="s">
        <v>9</v>
      </c>
      <c r="F336" t="s">
        <v>1570</v>
      </c>
      <c r="H336" t="s">
        <v>330</v>
      </c>
      <c r="I336" t="s">
        <v>1572</v>
      </c>
    </row>
    <row r="337" spans="1:9" x14ac:dyDescent="0.35">
      <c r="A337" t="s">
        <v>1574</v>
      </c>
      <c r="B337" t="str">
        <f>"9781849408028"</f>
        <v>9781849408028</v>
      </c>
      <c r="C337" t="s">
        <v>1578</v>
      </c>
      <c r="D337" t="s">
        <v>1576</v>
      </c>
      <c r="E337" t="s">
        <v>9</v>
      </c>
      <c r="F337" t="s">
        <v>1575</v>
      </c>
      <c r="H337" t="s">
        <v>330</v>
      </c>
      <c r="I337" t="s">
        <v>1577</v>
      </c>
    </row>
    <row r="338" spans="1:9" x14ac:dyDescent="0.35">
      <c r="A338" t="s">
        <v>1579</v>
      </c>
      <c r="B338" t="str">
        <f>"9781849407007"</f>
        <v>9781849407007</v>
      </c>
      <c r="C338" t="s">
        <v>1582</v>
      </c>
      <c r="D338" t="s">
        <v>1580</v>
      </c>
      <c r="E338" t="s">
        <v>9</v>
      </c>
      <c r="H338" t="s">
        <v>1414</v>
      </c>
      <c r="I338" t="s">
        <v>1581</v>
      </c>
    </row>
    <row r="339" spans="1:9" x14ac:dyDescent="0.35">
      <c r="A339" t="s">
        <v>1583</v>
      </c>
      <c r="B339" t="str">
        <f>"9781849401982"</f>
        <v>9781849401982</v>
      </c>
      <c r="C339" t="s">
        <v>1586</v>
      </c>
      <c r="D339" t="s">
        <v>1584</v>
      </c>
      <c r="E339" t="s">
        <v>9</v>
      </c>
      <c r="H339" t="s">
        <v>197</v>
      </c>
      <c r="I339" t="s">
        <v>1585</v>
      </c>
    </row>
    <row r="340" spans="1:9" x14ac:dyDescent="0.35">
      <c r="A340" t="s">
        <v>1587</v>
      </c>
      <c r="B340" t="str">
        <f>"9781849404990"</f>
        <v>9781849404990</v>
      </c>
      <c r="C340" t="s">
        <v>1590</v>
      </c>
      <c r="D340" t="s">
        <v>1588</v>
      </c>
      <c r="E340" t="s">
        <v>9</v>
      </c>
      <c r="H340" t="s">
        <v>147</v>
      </c>
      <c r="I340" t="s">
        <v>1589</v>
      </c>
    </row>
    <row r="341" spans="1:9" x14ac:dyDescent="0.35">
      <c r="A341" t="s">
        <v>1591</v>
      </c>
      <c r="B341" t="str">
        <f>"9780807877982"</f>
        <v>9780807877982</v>
      </c>
      <c r="C341" t="s">
        <v>1594</v>
      </c>
      <c r="D341" t="s">
        <v>1592</v>
      </c>
      <c r="E341" t="s">
        <v>558</v>
      </c>
      <c r="H341" t="s">
        <v>22</v>
      </c>
      <c r="I341" t="s">
        <v>1593</v>
      </c>
    </row>
    <row r="342" spans="1:9" x14ac:dyDescent="0.35">
      <c r="A342" t="s">
        <v>1595</v>
      </c>
      <c r="B342" t="str">
        <f>"9781139079891"</f>
        <v>9781139079891</v>
      </c>
      <c r="C342" t="s">
        <v>1598</v>
      </c>
      <c r="D342" t="s">
        <v>1596</v>
      </c>
      <c r="E342" t="s">
        <v>390</v>
      </c>
      <c r="H342" t="s">
        <v>75</v>
      </c>
      <c r="I342" t="s">
        <v>1597</v>
      </c>
    </row>
    <row r="343" spans="1:9" x14ac:dyDescent="0.35">
      <c r="A343" t="s">
        <v>1599</v>
      </c>
      <c r="B343" t="str">
        <f>"9781139080552"</f>
        <v>9781139080552</v>
      </c>
      <c r="C343" t="s">
        <v>1602</v>
      </c>
      <c r="D343" t="s">
        <v>1600</v>
      </c>
      <c r="E343" t="s">
        <v>390</v>
      </c>
      <c r="H343" t="s">
        <v>86</v>
      </c>
      <c r="I343" t="s">
        <v>1601</v>
      </c>
    </row>
    <row r="344" spans="1:9" x14ac:dyDescent="0.35">
      <c r="A344" t="s">
        <v>1603</v>
      </c>
      <c r="B344" t="str">
        <f>"9780739164396"</f>
        <v>9780739164396</v>
      </c>
      <c r="C344" t="s">
        <v>1606</v>
      </c>
      <c r="D344" t="s">
        <v>1604</v>
      </c>
      <c r="E344" t="s">
        <v>887</v>
      </c>
      <c r="H344" t="s">
        <v>147</v>
      </c>
      <c r="I344" t="s">
        <v>1605</v>
      </c>
    </row>
    <row r="345" spans="1:9" x14ac:dyDescent="0.35">
      <c r="A345" t="s">
        <v>1607</v>
      </c>
      <c r="B345" t="str">
        <f>"9780203818329"</f>
        <v>9780203818329</v>
      </c>
      <c r="C345" t="s">
        <v>1610</v>
      </c>
      <c r="D345" t="s">
        <v>1608</v>
      </c>
      <c r="E345" t="s">
        <v>9</v>
      </c>
      <c r="H345" t="s">
        <v>153</v>
      </c>
      <c r="I345" t="s">
        <v>1609</v>
      </c>
    </row>
    <row r="346" spans="1:9" x14ac:dyDescent="0.35">
      <c r="A346" t="s">
        <v>1611</v>
      </c>
      <c r="B346" t="str">
        <f>"9780203853245"</f>
        <v>9780203853245</v>
      </c>
      <c r="C346" t="s">
        <v>1614</v>
      </c>
      <c r="D346" t="s">
        <v>1612</v>
      </c>
      <c r="E346" t="s">
        <v>9</v>
      </c>
      <c r="F346" t="s">
        <v>1388</v>
      </c>
      <c r="H346" t="s">
        <v>138</v>
      </c>
      <c r="I346" t="s">
        <v>1613</v>
      </c>
    </row>
    <row r="347" spans="1:9" x14ac:dyDescent="0.35">
      <c r="A347" t="s">
        <v>1615</v>
      </c>
      <c r="B347" t="str">
        <f>"9780203816257"</f>
        <v>9780203816257</v>
      </c>
      <c r="C347" t="s">
        <v>1618</v>
      </c>
      <c r="D347" t="s">
        <v>1616</v>
      </c>
      <c r="E347" t="s">
        <v>9</v>
      </c>
      <c r="F347" t="s">
        <v>1464</v>
      </c>
      <c r="H347" t="s">
        <v>147</v>
      </c>
      <c r="I347" t="s">
        <v>1617</v>
      </c>
    </row>
    <row r="348" spans="1:9" x14ac:dyDescent="0.35">
      <c r="A348" t="s">
        <v>1619</v>
      </c>
      <c r="B348" t="str">
        <f>"9780203815977"</f>
        <v>9780203815977</v>
      </c>
      <c r="C348" t="s">
        <v>1623</v>
      </c>
      <c r="D348" t="s">
        <v>1621</v>
      </c>
      <c r="E348" t="s">
        <v>9</v>
      </c>
      <c r="F348" t="s">
        <v>1620</v>
      </c>
      <c r="H348" t="s">
        <v>22</v>
      </c>
      <c r="I348" t="s">
        <v>1622</v>
      </c>
    </row>
    <row r="349" spans="1:9" x14ac:dyDescent="0.35">
      <c r="A349" t="s">
        <v>1624</v>
      </c>
      <c r="B349" t="str">
        <f>"9780203814000"</f>
        <v>9780203814000</v>
      </c>
      <c r="C349" t="s">
        <v>1627</v>
      </c>
      <c r="D349" t="s">
        <v>1625</v>
      </c>
      <c r="E349" t="s">
        <v>9</v>
      </c>
      <c r="H349" t="s">
        <v>397</v>
      </c>
      <c r="I349" t="s">
        <v>1626</v>
      </c>
    </row>
    <row r="350" spans="1:9" x14ac:dyDescent="0.35">
      <c r="A350" t="s">
        <v>1628</v>
      </c>
      <c r="B350" t="str">
        <f>"9781849407694"</f>
        <v>9781849407694</v>
      </c>
      <c r="C350" t="s">
        <v>1632</v>
      </c>
      <c r="D350" t="s">
        <v>1630</v>
      </c>
      <c r="E350" t="s">
        <v>9</v>
      </c>
      <c r="F350" t="s">
        <v>1629</v>
      </c>
      <c r="H350" t="s">
        <v>330</v>
      </c>
      <c r="I350" t="s">
        <v>1631</v>
      </c>
    </row>
    <row r="351" spans="1:9" x14ac:dyDescent="0.35">
      <c r="A351" t="s">
        <v>1633</v>
      </c>
      <c r="B351" t="str">
        <f>"9781441102430"</f>
        <v>9781441102430</v>
      </c>
      <c r="C351" t="s">
        <v>1637</v>
      </c>
      <c r="D351" t="s">
        <v>1634</v>
      </c>
      <c r="E351" t="s">
        <v>629</v>
      </c>
      <c r="H351" t="s">
        <v>1635</v>
      </c>
      <c r="I351" t="s">
        <v>1636</v>
      </c>
    </row>
    <row r="352" spans="1:9" x14ac:dyDescent="0.35">
      <c r="A352" t="s">
        <v>1638</v>
      </c>
      <c r="B352" t="str">
        <f>"9781598746211"</f>
        <v>9781598746211</v>
      </c>
      <c r="C352" t="s">
        <v>1641</v>
      </c>
      <c r="D352" t="s">
        <v>1639</v>
      </c>
      <c r="E352" t="s">
        <v>9</v>
      </c>
      <c r="F352" t="s">
        <v>1511</v>
      </c>
      <c r="H352" t="s">
        <v>22</v>
      </c>
      <c r="I352" t="s">
        <v>1640</v>
      </c>
    </row>
    <row r="353" spans="1:9" x14ac:dyDescent="0.35">
      <c r="A353" t="s">
        <v>1642</v>
      </c>
      <c r="B353" t="str">
        <f>"9781416613268"</f>
        <v>9781416613268</v>
      </c>
      <c r="C353" t="s">
        <v>1646</v>
      </c>
      <c r="D353" t="s">
        <v>1644</v>
      </c>
      <c r="E353" t="s">
        <v>1643</v>
      </c>
      <c r="H353" t="s">
        <v>209</v>
      </c>
      <c r="I353" t="s">
        <v>1645</v>
      </c>
    </row>
    <row r="354" spans="1:9" x14ac:dyDescent="0.35">
      <c r="A354" t="s">
        <v>1647</v>
      </c>
      <c r="B354" t="str">
        <f>"9781119990796"</f>
        <v>9781119990796</v>
      </c>
      <c r="C354" t="s">
        <v>1650</v>
      </c>
      <c r="D354" t="s">
        <v>1648</v>
      </c>
      <c r="E354" t="s">
        <v>444</v>
      </c>
      <c r="H354" t="s">
        <v>70</v>
      </c>
      <c r="I354" t="s">
        <v>1649</v>
      </c>
    </row>
    <row r="355" spans="1:9" x14ac:dyDescent="0.35">
      <c r="A355" t="s">
        <v>1651</v>
      </c>
      <c r="B355" t="str">
        <f>"9780739148020"</f>
        <v>9780739148020</v>
      </c>
      <c r="C355" t="s">
        <v>1654</v>
      </c>
      <c r="D355" t="s">
        <v>1652</v>
      </c>
      <c r="E355" t="s">
        <v>887</v>
      </c>
      <c r="H355" t="s">
        <v>22</v>
      </c>
      <c r="I355" t="s">
        <v>1653</v>
      </c>
    </row>
    <row r="356" spans="1:9" x14ac:dyDescent="0.35">
      <c r="A356" t="s">
        <v>1655</v>
      </c>
      <c r="B356" t="str">
        <f>"9780754699408"</f>
        <v>9780754699408</v>
      </c>
      <c r="C356" t="s">
        <v>1659</v>
      </c>
      <c r="D356" t="s">
        <v>1656</v>
      </c>
      <c r="E356" t="s">
        <v>9</v>
      </c>
      <c r="H356" t="s">
        <v>1657</v>
      </c>
      <c r="I356" t="s">
        <v>1658</v>
      </c>
    </row>
    <row r="357" spans="1:9" x14ac:dyDescent="0.35">
      <c r="A357" t="s">
        <v>1660</v>
      </c>
      <c r="B357" t="str">
        <f>"9789042031883"</f>
        <v>9789042031883</v>
      </c>
      <c r="C357" t="s">
        <v>1664</v>
      </c>
      <c r="D357" t="s">
        <v>1662</v>
      </c>
      <c r="E357" t="s">
        <v>901</v>
      </c>
      <c r="F357" t="s">
        <v>1661</v>
      </c>
      <c r="H357" t="s">
        <v>22</v>
      </c>
      <c r="I357" t="s">
        <v>1663</v>
      </c>
    </row>
    <row r="358" spans="1:9" x14ac:dyDescent="0.35">
      <c r="A358" t="s">
        <v>1665</v>
      </c>
      <c r="B358" t="str">
        <f>"9780857249067"</f>
        <v>9780857249067</v>
      </c>
      <c r="C358" t="s">
        <v>1670</v>
      </c>
      <c r="D358" t="s">
        <v>1667</v>
      </c>
      <c r="E358" t="s">
        <v>818</v>
      </c>
      <c r="F358" t="s">
        <v>1666</v>
      </c>
      <c r="H358" t="s">
        <v>1668</v>
      </c>
      <c r="I358" t="s">
        <v>1669</v>
      </c>
    </row>
    <row r="359" spans="1:9" x14ac:dyDescent="0.35">
      <c r="A359" t="s">
        <v>1671</v>
      </c>
      <c r="B359" t="str">
        <f>"9780253000842"</f>
        <v>9780253000842</v>
      </c>
      <c r="C359" t="s">
        <v>1674</v>
      </c>
      <c r="D359" t="s">
        <v>1672</v>
      </c>
      <c r="E359" t="s">
        <v>110</v>
      </c>
      <c r="H359" t="s">
        <v>22</v>
      </c>
      <c r="I359" t="s">
        <v>1673</v>
      </c>
    </row>
    <row r="360" spans="1:9" x14ac:dyDescent="0.35">
      <c r="A360" t="s">
        <v>1675</v>
      </c>
      <c r="B360" t="str">
        <f>"9781439900826"</f>
        <v>9781439900826</v>
      </c>
      <c r="C360" t="s">
        <v>1679</v>
      </c>
      <c r="D360" t="s">
        <v>1677</v>
      </c>
      <c r="E360" t="s">
        <v>1676</v>
      </c>
      <c r="H360" t="s">
        <v>64</v>
      </c>
      <c r="I360" t="s">
        <v>1678</v>
      </c>
    </row>
    <row r="361" spans="1:9" x14ac:dyDescent="0.35">
      <c r="A361" t="s">
        <v>1680</v>
      </c>
      <c r="B361" t="str">
        <f>"9789048514854"</f>
        <v>9789048514854</v>
      </c>
      <c r="C361" t="s">
        <v>1683</v>
      </c>
      <c r="D361" t="s">
        <v>1681</v>
      </c>
      <c r="E361" t="s">
        <v>622</v>
      </c>
      <c r="H361" t="s">
        <v>75</v>
      </c>
      <c r="I361" t="s">
        <v>1682</v>
      </c>
    </row>
    <row r="362" spans="1:9" x14ac:dyDescent="0.35">
      <c r="A362" t="s">
        <v>1684</v>
      </c>
      <c r="B362" t="str">
        <f>"9781351934664"</f>
        <v>9781351934664</v>
      </c>
      <c r="C362" t="s">
        <v>1688</v>
      </c>
      <c r="D362" t="s">
        <v>1686</v>
      </c>
      <c r="E362" t="s">
        <v>9</v>
      </c>
      <c r="F362" t="s">
        <v>1685</v>
      </c>
      <c r="H362" t="s">
        <v>163</v>
      </c>
      <c r="I362" t="s">
        <v>1687</v>
      </c>
    </row>
    <row r="363" spans="1:9" x14ac:dyDescent="0.35">
      <c r="A363" t="s">
        <v>1689</v>
      </c>
      <c r="B363" t="str">
        <f>"9780821387276"</f>
        <v>9780821387276</v>
      </c>
      <c r="C363" t="s">
        <v>1693</v>
      </c>
      <c r="D363" t="s">
        <v>1690</v>
      </c>
      <c r="E363" t="s">
        <v>863</v>
      </c>
      <c r="F363" t="s">
        <v>1431</v>
      </c>
      <c r="H363" t="s">
        <v>1691</v>
      </c>
      <c r="I363" t="s">
        <v>1692</v>
      </c>
    </row>
    <row r="364" spans="1:9" x14ac:dyDescent="0.35">
      <c r="A364" t="s">
        <v>1694</v>
      </c>
      <c r="B364" t="str">
        <f>"9789004203044"</f>
        <v>9789004203044</v>
      </c>
      <c r="C364" t="s">
        <v>1698</v>
      </c>
      <c r="D364" t="s">
        <v>1696</v>
      </c>
      <c r="E364" t="s">
        <v>901</v>
      </c>
      <c r="F364" t="s">
        <v>1695</v>
      </c>
      <c r="H364" t="s">
        <v>397</v>
      </c>
      <c r="I364" t="s">
        <v>1697</v>
      </c>
    </row>
    <row r="365" spans="1:9" x14ac:dyDescent="0.35">
      <c r="A365" t="s">
        <v>1699</v>
      </c>
      <c r="B365" t="str">
        <f>"9780857451217"</f>
        <v>9780857451217</v>
      </c>
      <c r="C365" t="s">
        <v>1704</v>
      </c>
      <c r="D365" t="s">
        <v>1702</v>
      </c>
      <c r="E365" t="s">
        <v>1700</v>
      </c>
      <c r="F365" t="s">
        <v>1701</v>
      </c>
      <c r="H365" t="s">
        <v>22</v>
      </c>
      <c r="I365" t="s">
        <v>1703</v>
      </c>
    </row>
    <row r="366" spans="1:9" x14ac:dyDescent="0.35">
      <c r="A366" t="s">
        <v>1705</v>
      </c>
      <c r="B366" t="str">
        <f>"9780520950559"</f>
        <v>9780520950559</v>
      </c>
      <c r="C366" t="s">
        <v>1708</v>
      </c>
      <c r="D366" t="s">
        <v>1706</v>
      </c>
      <c r="E366" t="s">
        <v>84</v>
      </c>
      <c r="H366" t="s">
        <v>932</v>
      </c>
      <c r="I366" t="s">
        <v>1707</v>
      </c>
    </row>
    <row r="367" spans="1:9" x14ac:dyDescent="0.35">
      <c r="A367" t="s">
        <v>1709</v>
      </c>
      <c r="B367" t="str">
        <f>"9783110247473"</f>
        <v>9783110247473</v>
      </c>
      <c r="C367" t="s">
        <v>1713</v>
      </c>
      <c r="D367" t="s">
        <v>1711</v>
      </c>
      <c r="E367" t="s">
        <v>502</v>
      </c>
      <c r="F367" t="s">
        <v>1710</v>
      </c>
      <c r="H367" t="s">
        <v>163</v>
      </c>
      <c r="I367" t="s">
        <v>1712</v>
      </c>
    </row>
    <row r="368" spans="1:9" x14ac:dyDescent="0.35">
      <c r="A368" t="s">
        <v>1714</v>
      </c>
      <c r="B368" t="str">
        <f>"9789280871449"</f>
        <v>9789280871449</v>
      </c>
      <c r="C368" t="s">
        <v>1718</v>
      </c>
      <c r="D368" t="s">
        <v>1716</v>
      </c>
      <c r="E368" t="s">
        <v>1715</v>
      </c>
      <c r="H368" t="s">
        <v>22</v>
      </c>
      <c r="I368" t="s">
        <v>1717</v>
      </c>
    </row>
    <row r="369" spans="1:9" x14ac:dyDescent="0.35">
      <c r="A369" t="s">
        <v>1719</v>
      </c>
      <c r="B369" t="str">
        <f>"9780816674817"</f>
        <v>9780816674817</v>
      </c>
      <c r="C369" t="s">
        <v>1724</v>
      </c>
      <c r="D369" t="s">
        <v>1721</v>
      </c>
      <c r="E369" t="s">
        <v>305</v>
      </c>
      <c r="F369" t="s">
        <v>1720</v>
      </c>
      <c r="H369" t="s">
        <v>1722</v>
      </c>
      <c r="I369" t="s">
        <v>1723</v>
      </c>
    </row>
    <row r="370" spans="1:9" x14ac:dyDescent="0.35">
      <c r="A370" t="s">
        <v>1725</v>
      </c>
      <c r="B370" t="str">
        <f>"9781611480115"</f>
        <v>9781611480115</v>
      </c>
      <c r="C370" t="s">
        <v>1730</v>
      </c>
      <c r="D370" t="s">
        <v>1728</v>
      </c>
      <c r="E370" t="s">
        <v>1726</v>
      </c>
      <c r="F370" t="s">
        <v>1727</v>
      </c>
      <c r="H370" t="s">
        <v>147</v>
      </c>
      <c r="I370" t="s">
        <v>1729</v>
      </c>
    </row>
    <row r="371" spans="1:9" x14ac:dyDescent="0.35">
      <c r="A371" t="s">
        <v>1731</v>
      </c>
      <c r="B371" t="str">
        <f>"9780739135808"</f>
        <v>9780739135808</v>
      </c>
      <c r="C371" t="s">
        <v>1734</v>
      </c>
      <c r="D371" t="s">
        <v>1732</v>
      </c>
      <c r="E371" t="s">
        <v>887</v>
      </c>
      <c r="H371" t="s">
        <v>22</v>
      </c>
      <c r="I371" t="s">
        <v>1733</v>
      </c>
    </row>
    <row r="372" spans="1:9" x14ac:dyDescent="0.35">
      <c r="A372" t="s">
        <v>1735</v>
      </c>
      <c r="B372" t="str">
        <f>"9789004203105"</f>
        <v>9789004203105</v>
      </c>
      <c r="C372" t="s">
        <v>1739</v>
      </c>
      <c r="D372" t="s">
        <v>1737</v>
      </c>
      <c r="E372" t="s">
        <v>901</v>
      </c>
      <c r="F372" t="s">
        <v>1736</v>
      </c>
      <c r="H372" t="s">
        <v>397</v>
      </c>
      <c r="I372" t="s">
        <v>1738</v>
      </c>
    </row>
    <row r="373" spans="1:9" x14ac:dyDescent="0.35">
      <c r="A373" t="s">
        <v>1740</v>
      </c>
      <c r="B373" t="str">
        <f>"9780816676828"</f>
        <v>9780816676828</v>
      </c>
      <c r="C373" t="s">
        <v>1743</v>
      </c>
      <c r="D373" t="s">
        <v>1741</v>
      </c>
      <c r="E373" t="s">
        <v>305</v>
      </c>
      <c r="H373" t="s">
        <v>147</v>
      </c>
      <c r="I373" t="s">
        <v>1742</v>
      </c>
    </row>
    <row r="374" spans="1:9" x14ac:dyDescent="0.35">
      <c r="A374" t="s">
        <v>1744</v>
      </c>
      <c r="B374" t="str">
        <f>"9780520950153"</f>
        <v>9780520950153</v>
      </c>
      <c r="C374" t="s">
        <v>1747</v>
      </c>
      <c r="D374" t="s">
        <v>1745</v>
      </c>
      <c r="E374" t="s">
        <v>84</v>
      </c>
      <c r="H374" t="s">
        <v>22</v>
      </c>
      <c r="I374" t="s">
        <v>1746</v>
      </c>
    </row>
    <row r="375" spans="1:9" x14ac:dyDescent="0.35">
      <c r="A375" t="s">
        <v>1748</v>
      </c>
      <c r="B375" t="str">
        <f>"9780520949959"</f>
        <v>9780520949959</v>
      </c>
      <c r="C375" t="s">
        <v>1751</v>
      </c>
      <c r="D375" t="s">
        <v>1749</v>
      </c>
      <c r="E375" t="s">
        <v>84</v>
      </c>
      <c r="H375" t="s">
        <v>22</v>
      </c>
      <c r="I375" t="s">
        <v>1750</v>
      </c>
    </row>
    <row r="376" spans="1:9" x14ac:dyDescent="0.35">
      <c r="A376" t="s">
        <v>1752</v>
      </c>
      <c r="B376" t="str">
        <f>"9780520950320"</f>
        <v>9780520950320</v>
      </c>
      <c r="C376" t="s">
        <v>1756</v>
      </c>
      <c r="D376" t="s">
        <v>1754</v>
      </c>
      <c r="E376" t="s">
        <v>84</v>
      </c>
      <c r="F376" t="s">
        <v>1753</v>
      </c>
      <c r="H376" t="s">
        <v>22</v>
      </c>
      <c r="I376" t="s">
        <v>1755</v>
      </c>
    </row>
    <row r="377" spans="1:9" x14ac:dyDescent="0.35">
      <c r="A377" t="s">
        <v>1757</v>
      </c>
      <c r="B377" t="str">
        <f>"9780748647095"</f>
        <v>9780748647095</v>
      </c>
      <c r="C377" t="s">
        <v>1760</v>
      </c>
      <c r="D377" t="s">
        <v>1758</v>
      </c>
      <c r="E377" t="s">
        <v>151</v>
      </c>
      <c r="H377" t="s">
        <v>86</v>
      </c>
      <c r="I377" t="s">
        <v>1759</v>
      </c>
    </row>
    <row r="378" spans="1:9" x14ac:dyDescent="0.35">
      <c r="A378" t="s">
        <v>1761</v>
      </c>
      <c r="B378" t="str">
        <f>"9781409434139"</f>
        <v>9781409434139</v>
      </c>
      <c r="C378" t="s">
        <v>1764</v>
      </c>
      <c r="D378" t="s">
        <v>1762</v>
      </c>
      <c r="E378" t="s">
        <v>9</v>
      </c>
      <c r="H378" t="s">
        <v>86</v>
      </c>
      <c r="I378" t="s">
        <v>1763</v>
      </c>
    </row>
    <row r="379" spans="1:9" x14ac:dyDescent="0.35">
      <c r="A379" t="s">
        <v>1765</v>
      </c>
      <c r="B379" t="str">
        <f>"9781409428169"</f>
        <v>9781409428169</v>
      </c>
      <c r="C379" t="s">
        <v>1768</v>
      </c>
      <c r="D379" t="s">
        <v>1766</v>
      </c>
      <c r="E379" t="s">
        <v>9</v>
      </c>
      <c r="H379" t="s">
        <v>22</v>
      </c>
      <c r="I379" t="s">
        <v>1767</v>
      </c>
    </row>
    <row r="380" spans="1:9" x14ac:dyDescent="0.35">
      <c r="A380" t="s">
        <v>1769</v>
      </c>
      <c r="B380" t="str">
        <f>"9781572338005"</f>
        <v>9781572338005</v>
      </c>
      <c r="C380" t="s">
        <v>1772</v>
      </c>
      <c r="D380" t="s">
        <v>1770</v>
      </c>
      <c r="E380" t="s">
        <v>1474</v>
      </c>
      <c r="H380" t="s">
        <v>147</v>
      </c>
      <c r="I380" t="s">
        <v>1771</v>
      </c>
    </row>
    <row r="381" spans="1:9" x14ac:dyDescent="0.35">
      <c r="A381" t="s">
        <v>1773</v>
      </c>
      <c r="B381" t="str">
        <f>"9780857451231"</f>
        <v>9780857451231</v>
      </c>
      <c r="C381" t="s">
        <v>1777</v>
      </c>
      <c r="D381" t="s">
        <v>1775</v>
      </c>
      <c r="E381" t="s">
        <v>1700</v>
      </c>
      <c r="F381" t="s">
        <v>1774</v>
      </c>
      <c r="H381" t="s">
        <v>17</v>
      </c>
      <c r="I381" t="s">
        <v>1776</v>
      </c>
    </row>
    <row r="382" spans="1:9" x14ac:dyDescent="0.35">
      <c r="A382" t="s">
        <v>1778</v>
      </c>
      <c r="B382" t="str">
        <f>"9789048514236"</f>
        <v>9789048514236</v>
      </c>
      <c r="C382" t="s">
        <v>1783</v>
      </c>
      <c r="D382" t="s">
        <v>1780</v>
      </c>
      <c r="E382" t="s">
        <v>622</v>
      </c>
      <c r="F382" t="s">
        <v>1779</v>
      </c>
      <c r="H382" t="s">
        <v>1781</v>
      </c>
      <c r="I382" t="s">
        <v>1782</v>
      </c>
    </row>
    <row r="383" spans="1:9" x14ac:dyDescent="0.35">
      <c r="A383" t="s">
        <v>1784</v>
      </c>
      <c r="B383" t="str">
        <f>"9781611490190"</f>
        <v>9781611490190</v>
      </c>
      <c r="C383" t="s">
        <v>1788</v>
      </c>
      <c r="D383" t="s">
        <v>1786</v>
      </c>
      <c r="E383" t="s">
        <v>1785</v>
      </c>
      <c r="H383" t="s">
        <v>22</v>
      </c>
      <c r="I383" t="s">
        <v>1787</v>
      </c>
    </row>
    <row r="384" spans="1:9" x14ac:dyDescent="0.35">
      <c r="A384" t="s">
        <v>1789</v>
      </c>
      <c r="B384" t="str">
        <f>"9781611480238"</f>
        <v>9781611480238</v>
      </c>
      <c r="C384" t="s">
        <v>1793</v>
      </c>
      <c r="D384" t="s">
        <v>1791</v>
      </c>
      <c r="E384" t="s">
        <v>1726</v>
      </c>
      <c r="F384" t="s">
        <v>1790</v>
      </c>
      <c r="H384" t="s">
        <v>1414</v>
      </c>
      <c r="I384" t="s">
        <v>1792</v>
      </c>
    </row>
    <row r="385" spans="1:9" x14ac:dyDescent="0.35">
      <c r="A385" t="s">
        <v>1794</v>
      </c>
      <c r="B385" t="str">
        <f>"9780191617720"</f>
        <v>9780191617720</v>
      </c>
      <c r="C385" t="s">
        <v>1797</v>
      </c>
      <c r="D385" t="s">
        <v>1795</v>
      </c>
      <c r="E385" t="s">
        <v>603</v>
      </c>
      <c r="H385" t="s">
        <v>86</v>
      </c>
      <c r="I385" t="s">
        <v>1796</v>
      </c>
    </row>
    <row r="386" spans="1:9" x14ac:dyDescent="0.35">
      <c r="A386" t="s">
        <v>1798</v>
      </c>
      <c r="B386" t="str">
        <f>"9781409420965"</f>
        <v>9781409420965</v>
      </c>
      <c r="C386" t="s">
        <v>1801</v>
      </c>
      <c r="D386" t="s">
        <v>1799</v>
      </c>
      <c r="E386" t="s">
        <v>9</v>
      </c>
      <c r="H386" t="s">
        <v>86</v>
      </c>
      <c r="I386" t="s">
        <v>1800</v>
      </c>
    </row>
    <row r="387" spans="1:9" x14ac:dyDescent="0.35">
      <c r="A387" t="s">
        <v>1802</v>
      </c>
      <c r="B387" t="str">
        <f>"9781849405324"</f>
        <v>9781849405324</v>
      </c>
      <c r="C387" t="s">
        <v>1806</v>
      </c>
      <c r="D387" t="s">
        <v>1804</v>
      </c>
      <c r="E387" t="s">
        <v>9</v>
      </c>
      <c r="F387" t="s">
        <v>1803</v>
      </c>
      <c r="H387" t="s">
        <v>197</v>
      </c>
      <c r="I387" t="s">
        <v>1805</v>
      </c>
    </row>
    <row r="388" spans="1:9" x14ac:dyDescent="0.35">
      <c r="A388" t="s">
        <v>1807</v>
      </c>
      <c r="B388" t="str">
        <f>"9781848139800"</f>
        <v>9781848139800</v>
      </c>
      <c r="C388" t="s">
        <v>1810</v>
      </c>
      <c r="D388" t="s">
        <v>1808</v>
      </c>
      <c r="E388" t="s">
        <v>493</v>
      </c>
      <c r="H388" t="s">
        <v>22</v>
      </c>
      <c r="I388" t="s">
        <v>1809</v>
      </c>
    </row>
    <row r="389" spans="1:9" x14ac:dyDescent="0.35">
      <c r="A389" t="s">
        <v>1811</v>
      </c>
      <c r="B389" t="str">
        <f>"9781848132894"</f>
        <v>9781848132894</v>
      </c>
      <c r="C389" t="s">
        <v>1814</v>
      </c>
      <c r="D389" t="s">
        <v>1812</v>
      </c>
      <c r="E389" t="s">
        <v>493</v>
      </c>
      <c r="H389" t="s">
        <v>625</v>
      </c>
      <c r="I389" t="s">
        <v>1813</v>
      </c>
    </row>
    <row r="390" spans="1:9" x14ac:dyDescent="0.35">
      <c r="A390" t="s">
        <v>1815</v>
      </c>
      <c r="B390" t="str">
        <f>"9780226724607"</f>
        <v>9780226724607</v>
      </c>
      <c r="C390" t="s">
        <v>1818</v>
      </c>
      <c r="D390" t="s">
        <v>1816</v>
      </c>
      <c r="E390" t="s">
        <v>535</v>
      </c>
      <c r="H390" t="s">
        <v>147</v>
      </c>
      <c r="I390" t="s">
        <v>1817</v>
      </c>
    </row>
    <row r="391" spans="1:9" x14ac:dyDescent="0.35">
      <c r="A391" t="s">
        <v>1819</v>
      </c>
      <c r="B391" t="str">
        <f>"9780816678556"</f>
        <v>9780816678556</v>
      </c>
      <c r="C391" t="s">
        <v>1823</v>
      </c>
      <c r="D391" t="s">
        <v>1821</v>
      </c>
      <c r="E391" t="s">
        <v>305</v>
      </c>
      <c r="F391" t="s">
        <v>1820</v>
      </c>
      <c r="H391" t="s">
        <v>22</v>
      </c>
      <c r="I391" t="s">
        <v>1822</v>
      </c>
    </row>
    <row r="392" spans="1:9" x14ac:dyDescent="0.35">
      <c r="A392" t="s">
        <v>1824</v>
      </c>
      <c r="B392" t="str">
        <f>"9780748647514"</f>
        <v>9780748647514</v>
      </c>
      <c r="C392" t="s">
        <v>1827</v>
      </c>
      <c r="D392" t="s">
        <v>1825</v>
      </c>
      <c r="E392" t="s">
        <v>151</v>
      </c>
      <c r="F392" t="s">
        <v>634</v>
      </c>
      <c r="H392" t="s">
        <v>636</v>
      </c>
      <c r="I392" t="s">
        <v>1826</v>
      </c>
    </row>
    <row r="393" spans="1:9" x14ac:dyDescent="0.35">
      <c r="A393" t="s">
        <v>1828</v>
      </c>
      <c r="B393" t="str">
        <f>"9780748633241"</f>
        <v>9780748633241</v>
      </c>
      <c r="C393" t="s">
        <v>1832</v>
      </c>
      <c r="D393" t="s">
        <v>1830</v>
      </c>
      <c r="E393" t="s">
        <v>151</v>
      </c>
      <c r="F393" t="s">
        <v>1829</v>
      </c>
      <c r="H393" t="s">
        <v>170</v>
      </c>
      <c r="I393" t="s">
        <v>1831</v>
      </c>
    </row>
    <row r="394" spans="1:9" x14ac:dyDescent="0.35">
      <c r="A394" t="s">
        <v>1833</v>
      </c>
      <c r="B394" t="str">
        <f>"9780739131930"</f>
        <v>9780739131930</v>
      </c>
      <c r="C394" t="s">
        <v>1836</v>
      </c>
      <c r="D394" t="s">
        <v>1834</v>
      </c>
      <c r="E394" t="s">
        <v>887</v>
      </c>
      <c r="H394" t="s">
        <v>250</v>
      </c>
      <c r="I394" t="s">
        <v>1835</v>
      </c>
    </row>
    <row r="395" spans="1:9" x14ac:dyDescent="0.35">
      <c r="A395" t="s">
        <v>1837</v>
      </c>
      <c r="B395" t="str">
        <f>"9781742245492"</f>
        <v>9781742245492</v>
      </c>
      <c r="C395" t="s">
        <v>1841</v>
      </c>
      <c r="D395" t="s">
        <v>1839</v>
      </c>
      <c r="E395" t="s">
        <v>1838</v>
      </c>
      <c r="H395" t="s">
        <v>22</v>
      </c>
      <c r="I395" t="s">
        <v>1840</v>
      </c>
    </row>
    <row r="396" spans="1:9" x14ac:dyDescent="0.35">
      <c r="A396" t="s">
        <v>1842</v>
      </c>
      <c r="B396" t="str">
        <f>"9789048514038"</f>
        <v>9789048514038</v>
      </c>
      <c r="C396" t="s">
        <v>1846</v>
      </c>
      <c r="D396" t="s">
        <v>1844</v>
      </c>
      <c r="E396" t="s">
        <v>622</v>
      </c>
      <c r="F396" t="s">
        <v>1843</v>
      </c>
      <c r="H396" t="s">
        <v>86</v>
      </c>
      <c r="I396" t="s">
        <v>1845</v>
      </c>
    </row>
    <row r="397" spans="1:9" x14ac:dyDescent="0.35">
      <c r="A397" t="s">
        <v>1847</v>
      </c>
      <c r="B397" t="str">
        <f>"9789004211209"</f>
        <v>9789004211209</v>
      </c>
      <c r="C397" t="s">
        <v>1851</v>
      </c>
      <c r="D397" t="s">
        <v>1849</v>
      </c>
      <c r="E397" t="s">
        <v>901</v>
      </c>
      <c r="F397" t="s">
        <v>1848</v>
      </c>
      <c r="H397" t="s">
        <v>147</v>
      </c>
      <c r="I397" t="s">
        <v>1850</v>
      </c>
    </row>
    <row r="398" spans="1:9" x14ac:dyDescent="0.35">
      <c r="A398" t="s">
        <v>1852</v>
      </c>
      <c r="B398" t="str">
        <f>"9789004213142"</f>
        <v>9789004213142</v>
      </c>
      <c r="C398" t="s">
        <v>1855</v>
      </c>
      <c r="D398" t="s">
        <v>1853</v>
      </c>
      <c r="E398" t="s">
        <v>901</v>
      </c>
      <c r="H398" t="s">
        <v>22</v>
      </c>
      <c r="I398" t="s">
        <v>1854</v>
      </c>
    </row>
    <row r="399" spans="1:9" x14ac:dyDescent="0.35">
      <c r="A399" t="s">
        <v>1856</v>
      </c>
      <c r="B399" t="str">
        <f>"9781848138988"</f>
        <v>9781848138988</v>
      </c>
      <c r="C399" t="s">
        <v>1860</v>
      </c>
      <c r="D399" t="s">
        <v>1857</v>
      </c>
      <c r="E399" t="s">
        <v>493</v>
      </c>
      <c r="H399" t="s">
        <v>1858</v>
      </c>
      <c r="I399" t="s">
        <v>1859</v>
      </c>
    </row>
    <row r="400" spans="1:9" x14ac:dyDescent="0.35">
      <c r="A400" t="s">
        <v>1861</v>
      </c>
      <c r="B400" t="str">
        <f>"9780816678488"</f>
        <v>9780816678488</v>
      </c>
      <c r="C400" t="s">
        <v>1864</v>
      </c>
      <c r="D400" t="s">
        <v>1862</v>
      </c>
      <c r="E400" t="s">
        <v>305</v>
      </c>
      <c r="H400" t="s">
        <v>531</v>
      </c>
      <c r="I400" t="s">
        <v>1863</v>
      </c>
    </row>
    <row r="401" spans="1:9" x14ac:dyDescent="0.35">
      <c r="A401" t="s">
        <v>1865</v>
      </c>
      <c r="B401" t="str">
        <f>"9781439907337"</f>
        <v>9781439907337</v>
      </c>
      <c r="C401" t="s">
        <v>1869</v>
      </c>
      <c r="D401" t="s">
        <v>1867</v>
      </c>
      <c r="E401" t="s">
        <v>1676</v>
      </c>
      <c r="F401" t="s">
        <v>1866</v>
      </c>
      <c r="H401" t="s">
        <v>22</v>
      </c>
      <c r="I401" t="s">
        <v>1868</v>
      </c>
    </row>
    <row r="402" spans="1:9" x14ac:dyDescent="0.35">
      <c r="A402" t="s">
        <v>1870</v>
      </c>
      <c r="B402" t="str">
        <f>"9780253001979"</f>
        <v>9780253001979</v>
      </c>
      <c r="C402" t="s">
        <v>1874</v>
      </c>
      <c r="D402" t="s">
        <v>1872</v>
      </c>
      <c r="E402" t="s">
        <v>110</v>
      </c>
      <c r="F402" t="s">
        <v>1871</v>
      </c>
      <c r="H402" t="s">
        <v>64</v>
      </c>
      <c r="I402" t="s">
        <v>1873</v>
      </c>
    </row>
    <row r="403" spans="1:9" x14ac:dyDescent="0.35">
      <c r="A403" t="s">
        <v>1875</v>
      </c>
      <c r="B403" t="str">
        <f>"9780520948556"</f>
        <v>9780520948556</v>
      </c>
      <c r="C403" t="s">
        <v>1878</v>
      </c>
      <c r="D403" t="s">
        <v>1876</v>
      </c>
      <c r="E403" t="s">
        <v>84</v>
      </c>
      <c r="H403" t="s">
        <v>75</v>
      </c>
      <c r="I403" t="s">
        <v>1877</v>
      </c>
    </row>
    <row r="404" spans="1:9" x14ac:dyDescent="0.35">
      <c r="A404" t="s">
        <v>1879</v>
      </c>
      <c r="B404" t="str">
        <f>"9780520950696"</f>
        <v>9780520950696</v>
      </c>
      <c r="C404" t="s">
        <v>1882</v>
      </c>
      <c r="D404" t="s">
        <v>1880</v>
      </c>
      <c r="E404" t="s">
        <v>84</v>
      </c>
      <c r="H404" t="s">
        <v>22</v>
      </c>
      <c r="I404" t="s">
        <v>1881</v>
      </c>
    </row>
    <row r="405" spans="1:9" x14ac:dyDescent="0.35">
      <c r="A405" t="s">
        <v>1883</v>
      </c>
      <c r="B405" t="str">
        <f>"9789027283948"</f>
        <v>9789027283948</v>
      </c>
      <c r="C405" t="s">
        <v>1886</v>
      </c>
      <c r="D405" t="s">
        <v>1884</v>
      </c>
      <c r="E405" t="s">
        <v>1330</v>
      </c>
      <c r="H405" t="s">
        <v>1460</v>
      </c>
      <c r="I405" t="s">
        <v>1885</v>
      </c>
    </row>
    <row r="406" spans="1:9" x14ac:dyDescent="0.35">
      <c r="A406" t="s">
        <v>1887</v>
      </c>
      <c r="B406" t="str">
        <f>"9780742570054"</f>
        <v>9780742570054</v>
      </c>
      <c r="C406" t="s">
        <v>1891</v>
      </c>
      <c r="D406" t="s">
        <v>1889</v>
      </c>
      <c r="E406" t="s">
        <v>882</v>
      </c>
      <c r="F406" t="s">
        <v>1888</v>
      </c>
      <c r="H406" t="s">
        <v>22</v>
      </c>
      <c r="I406" t="s">
        <v>1890</v>
      </c>
    </row>
    <row r="407" spans="1:9" x14ac:dyDescent="0.35">
      <c r="A407" t="s">
        <v>1892</v>
      </c>
      <c r="B407" t="str">
        <f>"9781409427810"</f>
        <v>9781409427810</v>
      </c>
      <c r="C407" t="s">
        <v>1896</v>
      </c>
      <c r="D407" t="s">
        <v>1894</v>
      </c>
      <c r="E407" t="s">
        <v>9</v>
      </c>
      <c r="F407" t="s">
        <v>1893</v>
      </c>
      <c r="H407" t="s">
        <v>147</v>
      </c>
      <c r="I407" t="s">
        <v>1895</v>
      </c>
    </row>
    <row r="408" spans="1:9" x14ac:dyDescent="0.35">
      <c r="A408" t="s">
        <v>1897</v>
      </c>
      <c r="B408" t="str">
        <f>"9780199793334"</f>
        <v>9780199793334</v>
      </c>
      <c r="C408" t="s">
        <v>1900</v>
      </c>
      <c r="D408" t="s">
        <v>1898</v>
      </c>
      <c r="E408" t="s">
        <v>167</v>
      </c>
      <c r="H408" t="s">
        <v>163</v>
      </c>
      <c r="I408" t="s">
        <v>1899</v>
      </c>
    </row>
    <row r="409" spans="1:9" x14ac:dyDescent="0.35">
      <c r="A409" t="s">
        <v>1901</v>
      </c>
      <c r="B409" t="str">
        <f>"9780203824993"</f>
        <v>9780203824993</v>
      </c>
      <c r="C409" t="s">
        <v>1905</v>
      </c>
      <c r="D409" t="s">
        <v>1902</v>
      </c>
      <c r="E409" t="s">
        <v>9</v>
      </c>
      <c r="H409" t="s">
        <v>1903</v>
      </c>
      <c r="I409" t="s">
        <v>1904</v>
      </c>
    </row>
    <row r="410" spans="1:9" x14ac:dyDescent="0.35">
      <c r="A410" t="s">
        <v>1906</v>
      </c>
      <c r="B410" t="str">
        <f>"9780203930328"</f>
        <v>9780203930328</v>
      </c>
      <c r="C410" t="s">
        <v>1909</v>
      </c>
      <c r="D410" t="s">
        <v>1907</v>
      </c>
      <c r="E410" t="s">
        <v>9</v>
      </c>
      <c r="H410" t="s">
        <v>22</v>
      </c>
      <c r="I410" t="s">
        <v>1908</v>
      </c>
    </row>
    <row r="411" spans="1:9" x14ac:dyDescent="0.35">
      <c r="A411" t="s">
        <v>1910</v>
      </c>
      <c r="B411" t="str">
        <f>"9780203828977"</f>
        <v>9780203828977</v>
      </c>
      <c r="C411" t="s">
        <v>1913</v>
      </c>
      <c r="D411" t="s">
        <v>1911</v>
      </c>
      <c r="E411" t="s">
        <v>9</v>
      </c>
      <c r="F411" t="s">
        <v>68</v>
      </c>
      <c r="H411" t="s">
        <v>22</v>
      </c>
      <c r="I411" t="s">
        <v>1912</v>
      </c>
    </row>
    <row r="412" spans="1:9" x14ac:dyDescent="0.35">
      <c r="A412" t="s">
        <v>1914</v>
      </c>
      <c r="B412" t="str">
        <f>"9781139141666"</f>
        <v>9781139141666</v>
      </c>
      <c r="C412" t="s">
        <v>1917</v>
      </c>
      <c r="D412" t="s">
        <v>1915</v>
      </c>
      <c r="E412" t="s">
        <v>390</v>
      </c>
      <c r="H412" t="s">
        <v>38</v>
      </c>
      <c r="I412" t="s">
        <v>1916</v>
      </c>
    </row>
    <row r="413" spans="1:9" x14ac:dyDescent="0.35">
      <c r="A413" t="s">
        <v>1918</v>
      </c>
      <c r="B413" t="str">
        <f>"9781409420170"</f>
        <v>9781409420170</v>
      </c>
      <c r="C413" t="s">
        <v>1921</v>
      </c>
      <c r="D413" t="s">
        <v>1919</v>
      </c>
      <c r="E413" t="s">
        <v>9</v>
      </c>
      <c r="H413" t="s">
        <v>22</v>
      </c>
      <c r="I413" t="s">
        <v>1920</v>
      </c>
    </row>
    <row r="414" spans="1:9" x14ac:dyDescent="0.35">
      <c r="A414" t="s">
        <v>1922</v>
      </c>
      <c r="B414" t="str">
        <f>"9781139157056"</f>
        <v>9781139157056</v>
      </c>
      <c r="C414" t="s">
        <v>1926</v>
      </c>
      <c r="D414" t="s">
        <v>1924</v>
      </c>
      <c r="E414" t="s">
        <v>390</v>
      </c>
      <c r="F414" t="s">
        <v>1923</v>
      </c>
      <c r="H414" t="s">
        <v>22</v>
      </c>
      <c r="I414" t="s">
        <v>1925</v>
      </c>
    </row>
    <row r="415" spans="1:9" x14ac:dyDescent="0.35">
      <c r="A415" t="s">
        <v>1927</v>
      </c>
      <c r="B415" t="str">
        <f>"9781139185851"</f>
        <v>9781139185851</v>
      </c>
      <c r="C415" t="s">
        <v>1930</v>
      </c>
      <c r="D415" t="s">
        <v>1928</v>
      </c>
      <c r="E415" t="s">
        <v>390</v>
      </c>
      <c r="H415" t="s">
        <v>22</v>
      </c>
      <c r="I415" t="s">
        <v>1929</v>
      </c>
    </row>
    <row r="416" spans="1:9" x14ac:dyDescent="0.35">
      <c r="A416" t="s">
        <v>1931</v>
      </c>
      <c r="B416" t="str">
        <f>"9781139186001"</f>
        <v>9781139186001</v>
      </c>
      <c r="C416" t="s">
        <v>1934</v>
      </c>
      <c r="D416" t="s">
        <v>1932</v>
      </c>
      <c r="E416" t="s">
        <v>390</v>
      </c>
      <c r="H416" t="s">
        <v>153</v>
      </c>
      <c r="I416" t="s">
        <v>1933</v>
      </c>
    </row>
    <row r="417" spans="1:9" x14ac:dyDescent="0.35">
      <c r="A417" t="s">
        <v>1935</v>
      </c>
      <c r="B417" t="str">
        <f>"9780804778480"</f>
        <v>9780804778480</v>
      </c>
      <c r="C417" t="s">
        <v>1938</v>
      </c>
      <c r="D417" t="s">
        <v>1936</v>
      </c>
      <c r="E417" t="s">
        <v>1186</v>
      </c>
      <c r="H417" t="s">
        <v>22</v>
      </c>
      <c r="I417" t="s">
        <v>1937</v>
      </c>
    </row>
    <row r="418" spans="1:9" x14ac:dyDescent="0.35">
      <c r="A418" t="s">
        <v>1939</v>
      </c>
      <c r="B418" t="str">
        <f>"9780804783460"</f>
        <v>9780804783460</v>
      </c>
      <c r="C418" t="s">
        <v>1942</v>
      </c>
      <c r="D418" t="s">
        <v>1940</v>
      </c>
      <c r="E418" t="s">
        <v>1186</v>
      </c>
      <c r="F418" t="s">
        <v>1532</v>
      </c>
      <c r="H418" t="s">
        <v>22</v>
      </c>
      <c r="I418" t="s">
        <v>1941</v>
      </c>
    </row>
    <row r="419" spans="1:9" x14ac:dyDescent="0.35">
      <c r="A419" t="s">
        <v>1943</v>
      </c>
      <c r="B419" t="str">
        <f>"9780813550770"</f>
        <v>9780813550770</v>
      </c>
      <c r="C419" t="s">
        <v>1946</v>
      </c>
      <c r="D419" t="s">
        <v>1944</v>
      </c>
      <c r="E419" t="s">
        <v>366</v>
      </c>
      <c r="H419" t="s">
        <v>158</v>
      </c>
      <c r="I419" t="s">
        <v>1945</v>
      </c>
    </row>
    <row r="420" spans="1:9" x14ac:dyDescent="0.35">
      <c r="A420" t="s">
        <v>1947</v>
      </c>
      <c r="B420" t="str">
        <f>"9780253001306"</f>
        <v>9780253001306</v>
      </c>
      <c r="C420" t="s">
        <v>1951</v>
      </c>
      <c r="D420" t="s">
        <v>1948</v>
      </c>
      <c r="E420" t="s">
        <v>110</v>
      </c>
      <c r="H420" t="s">
        <v>1949</v>
      </c>
      <c r="I420" t="s">
        <v>1950</v>
      </c>
    </row>
    <row r="421" spans="1:9" x14ac:dyDescent="0.35">
      <c r="A421" t="s">
        <v>1952</v>
      </c>
      <c r="B421" t="str">
        <f>"9780253002211"</f>
        <v>9780253002211</v>
      </c>
      <c r="C421" t="s">
        <v>1955</v>
      </c>
      <c r="D421" t="s">
        <v>1953</v>
      </c>
      <c r="E421" t="s">
        <v>110</v>
      </c>
      <c r="H421" t="s">
        <v>75</v>
      </c>
      <c r="I421" t="s">
        <v>1954</v>
      </c>
    </row>
    <row r="422" spans="1:9" x14ac:dyDescent="0.35">
      <c r="A422" t="s">
        <v>1956</v>
      </c>
      <c r="B422" t="str">
        <f>"9781442212831"</f>
        <v>9781442212831</v>
      </c>
      <c r="C422" t="s">
        <v>1959</v>
      </c>
      <c r="D422" t="s">
        <v>1957</v>
      </c>
      <c r="E422" t="s">
        <v>882</v>
      </c>
      <c r="H422" t="s">
        <v>1414</v>
      </c>
      <c r="I422" t="s">
        <v>1958</v>
      </c>
    </row>
    <row r="423" spans="1:9" x14ac:dyDescent="0.35">
      <c r="A423" t="s">
        <v>1960</v>
      </c>
      <c r="B423" t="str">
        <f>"9780813550794"</f>
        <v>9780813550794</v>
      </c>
      <c r="C423" t="s">
        <v>1965</v>
      </c>
      <c r="D423" t="s">
        <v>1962</v>
      </c>
      <c r="E423" t="s">
        <v>366</v>
      </c>
      <c r="F423" t="s">
        <v>1961</v>
      </c>
      <c r="H423" t="s">
        <v>1963</v>
      </c>
      <c r="I423" t="s">
        <v>1964</v>
      </c>
    </row>
    <row r="424" spans="1:9" x14ac:dyDescent="0.35">
      <c r="A424" t="s">
        <v>1966</v>
      </c>
      <c r="B424" t="str">
        <f>"9781444343922"</f>
        <v>9781444343922</v>
      </c>
      <c r="C424" t="s">
        <v>1970</v>
      </c>
      <c r="D424" t="s">
        <v>1968</v>
      </c>
      <c r="E424" t="s">
        <v>444</v>
      </c>
      <c r="F424" t="s">
        <v>1967</v>
      </c>
      <c r="H424" t="s">
        <v>22</v>
      </c>
      <c r="I424" t="s">
        <v>1969</v>
      </c>
    </row>
    <row r="425" spans="1:9" x14ac:dyDescent="0.35">
      <c r="A425" t="s">
        <v>1971</v>
      </c>
      <c r="B425" t="str">
        <f>"9780816678686"</f>
        <v>9780816678686</v>
      </c>
      <c r="C425" t="s">
        <v>1974</v>
      </c>
      <c r="D425" t="s">
        <v>1972</v>
      </c>
      <c r="E425" t="s">
        <v>305</v>
      </c>
      <c r="H425" t="s">
        <v>22</v>
      </c>
      <c r="I425" t="s">
        <v>1973</v>
      </c>
    </row>
    <row r="426" spans="1:9" x14ac:dyDescent="0.35">
      <c r="A426" t="s">
        <v>1975</v>
      </c>
      <c r="B426" t="str">
        <f>"9780708324691"</f>
        <v>9780708324691</v>
      </c>
      <c r="C426" t="s">
        <v>1977</v>
      </c>
      <c r="D426" t="s">
        <v>1110</v>
      </c>
      <c r="E426" t="s">
        <v>1108</v>
      </c>
      <c r="F426" t="s">
        <v>1109</v>
      </c>
      <c r="H426" t="s">
        <v>22</v>
      </c>
      <c r="I426" t="s">
        <v>1976</v>
      </c>
    </row>
    <row r="427" spans="1:9" x14ac:dyDescent="0.35">
      <c r="A427" t="s">
        <v>1978</v>
      </c>
      <c r="B427" t="str">
        <f>"9781119963790"</f>
        <v>9781119963790</v>
      </c>
      <c r="C427" t="s">
        <v>1982</v>
      </c>
      <c r="D427" t="s">
        <v>1980</v>
      </c>
      <c r="E427" t="s">
        <v>444</v>
      </c>
      <c r="F427" t="s">
        <v>1979</v>
      </c>
      <c r="H427" t="s">
        <v>406</v>
      </c>
      <c r="I427" t="s">
        <v>1981</v>
      </c>
    </row>
    <row r="428" spans="1:9" x14ac:dyDescent="0.35">
      <c r="A428" t="s">
        <v>1983</v>
      </c>
      <c r="B428" t="str">
        <f>"9780857249142"</f>
        <v>9780857249142</v>
      </c>
      <c r="C428" t="s">
        <v>1987</v>
      </c>
      <c r="D428" t="s">
        <v>1985</v>
      </c>
      <c r="E428" t="s">
        <v>818</v>
      </c>
      <c r="F428" t="s">
        <v>1984</v>
      </c>
      <c r="H428" t="s">
        <v>22</v>
      </c>
      <c r="I428" t="s">
        <v>1986</v>
      </c>
    </row>
    <row r="429" spans="1:9" x14ac:dyDescent="0.35">
      <c r="A429" t="s">
        <v>1988</v>
      </c>
      <c r="B429" t="str">
        <f>"9789401207249"</f>
        <v>9789401207249</v>
      </c>
      <c r="C429" t="s">
        <v>1992</v>
      </c>
      <c r="D429" t="s">
        <v>1990</v>
      </c>
      <c r="E429" t="s">
        <v>901</v>
      </c>
      <c r="F429" t="s">
        <v>1989</v>
      </c>
      <c r="H429" t="s">
        <v>22</v>
      </c>
      <c r="I429" t="s">
        <v>1991</v>
      </c>
    </row>
    <row r="430" spans="1:9" x14ac:dyDescent="0.35">
      <c r="A430" t="s">
        <v>1993</v>
      </c>
      <c r="B430" t="str">
        <f>"9780813550299"</f>
        <v>9780813550299</v>
      </c>
      <c r="C430" t="s">
        <v>1996</v>
      </c>
      <c r="D430" t="s">
        <v>1994</v>
      </c>
      <c r="E430" t="s">
        <v>366</v>
      </c>
      <c r="H430" t="s">
        <v>86</v>
      </c>
      <c r="I430" t="s">
        <v>1995</v>
      </c>
    </row>
    <row r="431" spans="1:9" x14ac:dyDescent="0.35">
      <c r="A431" t="s">
        <v>1997</v>
      </c>
      <c r="B431" t="str">
        <f>"9780813550374"</f>
        <v>9780813550374</v>
      </c>
      <c r="C431" t="s">
        <v>2000</v>
      </c>
      <c r="D431" t="s">
        <v>1998</v>
      </c>
      <c r="E431" t="s">
        <v>366</v>
      </c>
      <c r="H431" t="s">
        <v>209</v>
      </c>
      <c r="I431" t="s">
        <v>1999</v>
      </c>
    </row>
    <row r="432" spans="1:9" x14ac:dyDescent="0.35">
      <c r="A432" t="s">
        <v>2001</v>
      </c>
      <c r="B432" t="str">
        <f>"9780226470023"</f>
        <v>9780226470023</v>
      </c>
      <c r="C432" t="s">
        <v>2004</v>
      </c>
      <c r="D432" t="s">
        <v>2002</v>
      </c>
      <c r="E432" t="s">
        <v>535</v>
      </c>
      <c r="H432" t="s">
        <v>22</v>
      </c>
      <c r="I432" t="s">
        <v>2003</v>
      </c>
    </row>
    <row r="433" spans="1:9" x14ac:dyDescent="0.35">
      <c r="A433" t="s">
        <v>2005</v>
      </c>
      <c r="B433" t="str">
        <f>"9780520945050"</f>
        <v>9780520945050</v>
      </c>
      <c r="C433" t="s">
        <v>2008</v>
      </c>
      <c r="D433" t="s">
        <v>2006</v>
      </c>
      <c r="E433" t="s">
        <v>84</v>
      </c>
      <c r="H433" t="s">
        <v>625</v>
      </c>
      <c r="I433" t="s">
        <v>2007</v>
      </c>
    </row>
    <row r="434" spans="1:9" x14ac:dyDescent="0.35">
      <c r="A434" t="s">
        <v>2009</v>
      </c>
      <c r="B434" t="str">
        <f>"9781118192306"</f>
        <v>9781118192306</v>
      </c>
      <c r="C434" t="s">
        <v>2012</v>
      </c>
      <c r="D434" t="s">
        <v>2010</v>
      </c>
      <c r="E434" t="s">
        <v>444</v>
      </c>
      <c r="H434" t="s">
        <v>22</v>
      </c>
      <c r="I434" t="s">
        <v>2011</v>
      </c>
    </row>
    <row r="435" spans="1:9" x14ac:dyDescent="0.35">
      <c r="A435" t="s">
        <v>2013</v>
      </c>
      <c r="B435" t="str">
        <f>"9781593325565"</f>
        <v>9781593325565</v>
      </c>
      <c r="C435" t="s">
        <v>2017</v>
      </c>
      <c r="D435" t="s">
        <v>2015</v>
      </c>
      <c r="E435" t="s">
        <v>2014</v>
      </c>
      <c r="H435" t="s">
        <v>22</v>
      </c>
      <c r="I435" t="s">
        <v>2016</v>
      </c>
    </row>
    <row r="436" spans="1:9" x14ac:dyDescent="0.35">
      <c r="A436" t="s">
        <v>2018</v>
      </c>
      <c r="B436" t="str">
        <f>"9781847693051"</f>
        <v>9781847693051</v>
      </c>
      <c r="C436" t="s">
        <v>2023</v>
      </c>
      <c r="D436" t="s">
        <v>2021</v>
      </c>
      <c r="E436" t="s">
        <v>2019</v>
      </c>
      <c r="F436" t="s">
        <v>2020</v>
      </c>
      <c r="H436" t="s">
        <v>1460</v>
      </c>
      <c r="I436" t="s">
        <v>2022</v>
      </c>
    </row>
    <row r="437" spans="1:9" x14ac:dyDescent="0.35">
      <c r="A437" t="s">
        <v>2024</v>
      </c>
      <c r="B437" t="str">
        <f>"9781587296505"</f>
        <v>9781587296505</v>
      </c>
      <c r="C437" t="s">
        <v>2028</v>
      </c>
      <c r="D437" t="s">
        <v>2026</v>
      </c>
      <c r="E437" t="s">
        <v>2025</v>
      </c>
      <c r="H437" t="s">
        <v>147</v>
      </c>
      <c r="I437" t="s">
        <v>2027</v>
      </c>
    </row>
    <row r="438" spans="1:9" x14ac:dyDescent="0.35">
      <c r="A438" t="s">
        <v>2029</v>
      </c>
      <c r="B438" t="str">
        <f>"9781587299599"</f>
        <v>9781587299599</v>
      </c>
      <c r="C438" t="s">
        <v>2033</v>
      </c>
      <c r="D438" t="s">
        <v>2031</v>
      </c>
      <c r="E438" t="s">
        <v>2025</v>
      </c>
      <c r="F438" t="s">
        <v>2030</v>
      </c>
      <c r="H438" t="s">
        <v>147</v>
      </c>
      <c r="I438" t="s">
        <v>2032</v>
      </c>
    </row>
    <row r="439" spans="1:9" x14ac:dyDescent="0.35">
      <c r="A439" t="s">
        <v>2034</v>
      </c>
      <c r="B439" t="str">
        <f>"9780813551074"</f>
        <v>9780813551074</v>
      </c>
      <c r="C439" t="s">
        <v>2037</v>
      </c>
      <c r="D439" t="s">
        <v>2035</v>
      </c>
      <c r="E439" t="s">
        <v>366</v>
      </c>
      <c r="H439" t="s">
        <v>406</v>
      </c>
      <c r="I439" t="s">
        <v>2036</v>
      </c>
    </row>
    <row r="440" spans="1:9" x14ac:dyDescent="0.35">
      <c r="A440" t="s">
        <v>2038</v>
      </c>
      <c r="B440" t="str">
        <f>"9780857452504"</f>
        <v>9780857452504</v>
      </c>
      <c r="C440" t="s">
        <v>2041</v>
      </c>
      <c r="D440" t="s">
        <v>2039</v>
      </c>
      <c r="E440" t="s">
        <v>1700</v>
      </c>
      <c r="H440" t="s">
        <v>22</v>
      </c>
      <c r="I440" t="s">
        <v>2040</v>
      </c>
    </row>
    <row r="441" spans="1:9" x14ac:dyDescent="0.35">
      <c r="A441" t="s">
        <v>2042</v>
      </c>
      <c r="B441" t="str">
        <f>"9781861899880"</f>
        <v>9781861899880</v>
      </c>
      <c r="C441" t="s">
        <v>2046</v>
      </c>
      <c r="D441" t="s">
        <v>2044</v>
      </c>
      <c r="E441" t="s">
        <v>2043</v>
      </c>
      <c r="H441" t="s">
        <v>163</v>
      </c>
      <c r="I441" t="s">
        <v>2045</v>
      </c>
    </row>
    <row r="442" spans="1:9" x14ac:dyDescent="0.35">
      <c r="A442" t="s">
        <v>2047</v>
      </c>
      <c r="B442" t="str">
        <f>"9781611460995"</f>
        <v>9781611460995</v>
      </c>
      <c r="C442" t="s">
        <v>2051</v>
      </c>
      <c r="D442" t="s">
        <v>2049</v>
      </c>
      <c r="E442" t="s">
        <v>2048</v>
      </c>
      <c r="H442" t="s">
        <v>22</v>
      </c>
      <c r="I442" t="s">
        <v>2050</v>
      </c>
    </row>
    <row r="443" spans="1:9" x14ac:dyDescent="0.35">
      <c r="A443" t="s">
        <v>2052</v>
      </c>
      <c r="B443" t="str">
        <f>"9780813552064"</f>
        <v>9780813552064</v>
      </c>
      <c r="C443" t="s">
        <v>2055</v>
      </c>
      <c r="D443" t="s">
        <v>2053</v>
      </c>
      <c r="E443" t="s">
        <v>366</v>
      </c>
      <c r="H443" t="s">
        <v>86</v>
      </c>
      <c r="I443" t="s">
        <v>2054</v>
      </c>
    </row>
    <row r="444" spans="1:9" x14ac:dyDescent="0.35">
      <c r="A444" t="s">
        <v>2056</v>
      </c>
      <c r="B444" t="str">
        <f>"9781139230896"</f>
        <v>9781139230896</v>
      </c>
      <c r="C444" t="s">
        <v>2059</v>
      </c>
      <c r="D444" t="s">
        <v>2057</v>
      </c>
      <c r="E444" t="s">
        <v>390</v>
      </c>
      <c r="H444" t="s">
        <v>22</v>
      </c>
      <c r="I444" t="s">
        <v>2058</v>
      </c>
    </row>
    <row r="445" spans="1:9" x14ac:dyDescent="0.35">
      <c r="A445" t="s">
        <v>2060</v>
      </c>
      <c r="B445" t="str">
        <f>"9781611474688"</f>
        <v>9781611474688</v>
      </c>
      <c r="C445" t="s">
        <v>2064</v>
      </c>
      <c r="D445" t="s">
        <v>2062</v>
      </c>
      <c r="E445" t="s">
        <v>2061</v>
      </c>
      <c r="H445" t="s">
        <v>86</v>
      </c>
      <c r="I445" t="s">
        <v>2063</v>
      </c>
    </row>
    <row r="446" spans="1:9" x14ac:dyDescent="0.35">
      <c r="A446" t="s">
        <v>2065</v>
      </c>
      <c r="B446" t="str">
        <f>"9780816678365"</f>
        <v>9780816678365</v>
      </c>
      <c r="C446" t="s">
        <v>2069</v>
      </c>
      <c r="D446" t="s">
        <v>2067</v>
      </c>
      <c r="E446" t="s">
        <v>305</v>
      </c>
      <c r="F446" t="s">
        <v>2066</v>
      </c>
      <c r="H446" t="s">
        <v>849</v>
      </c>
      <c r="I446" t="s">
        <v>2068</v>
      </c>
    </row>
    <row r="447" spans="1:9" x14ac:dyDescent="0.35">
      <c r="A447" t="s">
        <v>2070</v>
      </c>
      <c r="B447" t="str">
        <f>"9789888053636"</f>
        <v>9789888053636</v>
      </c>
      <c r="C447" t="s">
        <v>2074</v>
      </c>
      <c r="D447" t="s">
        <v>2072</v>
      </c>
      <c r="E447" t="s">
        <v>1500</v>
      </c>
      <c r="F447" t="s">
        <v>2071</v>
      </c>
      <c r="H447" t="s">
        <v>22</v>
      </c>
      <c r="I447" t="s">
        <v>2073</v>
      </c>
    </row>
    <row r="448" spans="1:9" x14ac:dyDescent="0.35">
      <c r="A448" t="s">
        <v>2075</v>
      </c>
      <c r="B448" t="str">
        <f>"9789888053728"</f>
        <v>9789888053728</v>
      </c>
      <c r="C448" t="s">
        <v>2078</v>
      </c>
      <c r="D448" t="s">
        <v>2076</v>
      </c>
      <c r="E448" t="s">
        <v>1500</v>
      </c>
      <c r="F448" t="s">
        <v>1501</v>
      </c>
      <c r="H448" t="s">
        <v>22</v>
      </c>
      <c r="I448" t="s">
        <v>2077</v>
      </c>
    </row>
    <row r="449" spans="1:9" x14ac:dyDescent="0.35">
      <c r="A449" t="s">
        <v>2079</v>
      </c>
      <c r="B449" t="str">
        <f>"9789888053797"</f>
        <v>9789888053797</v>
      </c>
      <c r="C449" t="s">
        <v>2082</v>
      </c>
      <c r="D449" t="s">
        <v>2080</v>
      </c>
      <c r="E449" t="s">
        <v>1500</v>
      </c>
      <c r="F449" t="s">
        <v>1501</v>
      </c>
      <c r="H449" t="s">
        <v>22</v>
      </c>
      <c r="I449" t="s">
        <v>2081</v>
      </c>
    </row>
    <row r="450" spans="1:9" x14ac:dyDescent="0.35">
      <c r="A450" t="s">
        <v>2083</v>
      </c>
      <c r="B450" t="str">
        <f>"9789888053803"</f>
        <v>9789888053803</v>
      </c>
      <c r="C450" t="s">
        <v>2086</v>
      </c>
      <c r="D450" t="s">
        <v>2084</v>
      </c>
      <c r="E450" t="s">
        <v>1500</v>
      </c>
      <c r="F450" t="s">
        <v>1501</v>
      </c>
      <c r="H450" t="s">
        <v>22</v>
      </c>
      <c r="I450" t="s">
        <v>2085</v>
      </c>
    </row>
    <row r="451" spans="1:9" x14ac:dyDescent="0.35">
      <c r="A451" t="s">
        <v>2087</v>
      </c>
      <c r="B451" t="str">
        <f>"9781400842629"</f>
        <v>9781400842629</v>
      </c>
      <c r="C451" t="s">
        <v>2090</v>
      </c>
      <c r="D451" t="s">
        <v>2088</v>
      </c>
      <c r="E451" t="s">
        <v>858</v>
      </c>
      <c r="H451" t="s">
        <v>330</v>
      </c>
      <c r="I451" t="s">
        <v>2089</v>
      </c>
    </row>
    <row r="452" spans="1:9" x14ac:dyDescent="0.35">
      <c r="A452" t="s">
        <v>2091</v>
      </c>
      <c r="B452" t="str">
        <f>"9780813550206"</f>
        <v>9780813550206</v>
      </c>
      <c r="C452" t="s">
        <v>2093</v>
      </c>
      <c r="D452" t="s">
        <v>2092</v>
      </c>
      <c r="E452" t="s">
        <v>366</v>
      </c>
      <c r="H452" t="s">
        <v>22</v>
      </c>
      <c r="I452" t="s">
        <v>1005</v>
      </c>
    </row>
    <row r="453" spans="1:9" x14ac:dyDescent="0.35">
      <c r="A453" t="s">
        <v>2094</v>
      </c>
      <c r="B453" t="str">
        <f>"9780813549750"</f>
        <v>9780813549750</v>
      </c>
      <c r="C453" t="s">
        <v>2097</v>
      </c>
      <c r="D453" t="s">
        <v>2095</v>
      </c>
      <c r="E453" t="s">
        <v>366</v>
      </c>
      <c r="H453" t="s">
        <v>22</v>
      </c>
      <c r="I453" t="s">
        <v>2096</v>
      </c>
    </row>
    <row r="454" spans="1:9" x14ac:dyDescent="0.35">
      <c r="A454" t="s">
        <v>2098</v>
      </c>
      <c r="B454" t="str">
        <f>"9780813549767"</f>
        <v>9780813549767</v>
      </c>
      <c r="C454" t="s">
        <v>2102</v>
      </c>
      <c r="D454" t="s">
        <v>2100</v>
      </c>
      <c r="E454" t="s">
        <v>366</v>
      </c>
      <c r="F454" t="s">
        <v>2099</v>
      </c>
      <c r="H454" t="s">
        <v>17</v>
      </c>
      <c r="I454" t="s">
        <v>2101</v>
      </c>
    </row>
    <row r="455" spans="1:9" x14ac:dyDescent="0.35">
      <c r="A455" t="s">
        <v>2103</v>
      </c>
      <c r="B455" t="str">
        <f>"9780814723814"</f>
        <v>9780814723814</v>
      </c>
      <c r="C455" t="s">
        <v>2108</v>
      </c>
      <c r="D455" t="s">
        <v>2106</v>
      </c>
      <c r="E455" t="s">
        <v>2104</v>
      </c>
      <c r="F455" t="s">
        <v>2105</v>
      </c>
      <c r="H455" t="s">
        <v>22</v>
      </c>
      <c r="I455" t="s">
        <v>2107</v>
      </c>
    </row>
    <row r="456" spans="1:9" x14ac:dyDescent="0.35">
      <c r="A456" t="s">
        <v>2109</v>
      </c>
      <c r="B456" t="str">
        <f>"9780814738610"</f>
        <v>9780814738610</v>
      </c>
      <c r="C456" t="s">
        <v>2112</v>
      </c>
      <c r="D456" t="s">
        <v>2110</v>
      </c>
      <c r="E456" t="s">
        <v>2104</v>
      </c>
      <c r="H456" t="s">
        <v>397</v>
      </c>
      <c r="I456" t="s">
        <v>2111</v>
      </c>
    </row>
    <row r="457" spans="1:9" x14ac:dyDescent="0.35">
      <c r="A457" t="s">
        <v>2113</v>
      </c>
      <c r="B457" t="str">
        <f>"9780814739310"</f>
        <v>9780814739310</v>
      </c>
      <c r="C457" t="s">
        <v>2116</v>
      </c>
      <c r="D457" t="s">
        <v>2114</v>
      </c>
      <c r="E457" t="s">
        <v>2104</v>
      </c>
      <c r="H457" t="s">
        <v>397</v>
      </c>
      <c r="I457" t="s">
        <v>2115</v>
      </c>
    </row>
    <row r="458" spans="1:9" x14ac:dyDescent="0.35">
      <c r="A458" t="s">
        <v>2117</v>
      </c>
      <c r="B458" t="str">
        <f>"9780814768662"</f>
        <v>9780814768662</v>
      </c>
      <c r="C458" t="s">
        <v>2121</v>
      </c>
      <c r="D458" t="s">
        <v>2119</v>
      </c>
      <c r="E458" t="s">
        <v>2104</v>
      </c>
      <c r="F458" t="s">
        <v>2118</v>
      </c>
      <c r="H458" t="s">
        <v>147</v>
      </c>
      <c r="I458" t="s">
        <v>2120</v>
      </c>
    </row>
    <row r="459" spans="1:9" x14ac:dyDescent="0.35">
      <c r="A459" t="s">
        <v>2122</v>
      </c>
      <c r="B459" t="str">
        <f>"9780814789773"</f>
        <v>9780814789773</v>
      </c>
      <c r="C459" t="s">
        <v>2126</v>
      </c>
      <c r="D459" t="s">
        <v>2124</v>
      </c>
      <c r="E459" t="s">
        <v>2104</v>
      </c>
      <c r="F459" t="s">
        <v>2123</v>
      </c>
      <c r="H459" t="s">
        <v>22</v>
      </c>
      <c r="I459" t="s">
        <v>2125</v>
      </c>
    </row>
    <row r="460" spans="1:9" x14ac:dyDescent="0.35">
      <c r="A460" t="s">
        <v>2127</v>
      </c>
      <c r="B460" t="str">
        <f>"9781441139863"</f>
        <v>9781441139863</v>
      </c>
      <c r="C460" t="s">
        <v>2130</v>
      </c>
      <c r="D460" t="s">
        <v>2128</v>
      </c>
      <c r="E460" t="s">
        <v>629</v>
      </c>
      <c r="H460" t="s">
        <v>22</v>
      </c>
      <c r="I460" t="s">
        <v>2129</v>
      </c>
    </row>
    <row r="461" spans="1:9" x14ac:dyDescent="0.35">
      <c r="A461" t="s">
        <v>2131</v>
      </c>
      <c r="B461" t="str">
        <f>"9781409428053"</f>
        <v>9781409428053</v>
      </c>
      <c r="C461" t="s">
        <v>2134</v>
      </c>
      <c r="D461" t="s">
        <v>2132</v>
      </c>
      <c r="E461" t="s">
        <v>9</v>
      </c>
      <c r="H461" t="s">
        <v>22</v>
      </c>
      <c r="I461" t="s">
        <v>2133</v>
      </c>
    </row>
    <row r="462" spans="1:9" x14ac:dyDescent="0.35">
      <c r="A462" t="s">
        <v>2135</v>
      </c>
      <c r="B462" t="str">
        <f>"9780807882511"</f>
        <v>9780807882511</v>
      </c>
      <c r="C462" t="s">
        <v>2139</v>
      </c>
      <c r="D462" t="s">
        <v>2137</v>
      </c>
      <c r="E462" t="s">
        <v>558</v>
      </c>
      <c r="F462" t="s">
        <v>2136</v>
      </c>
      <c r="H462" t="s">
        <v>22</v>
      </c>
      <c r="I462" t="s">
        <v>2138</v>
      </c>
    </row>
    <row r="463" spans="1:9" x14ac:dyDescent="0.35">
      <c r="A463" t="s">
        <v>2140</v>
      </c>
      <c r="B463" t="str">
        <f>"9780804782203"</f>
        <v>9780804782203</v>
      </c>
      <c r="C463" t="s">
        <v>2144</v>
      </c>
      <c r="D463" t="s">
        <v>2142</v>
      </c>
      <c r="E463" t="s">
        <v>1186</v>
      </c>
      <c r="F463" t="s">
        <v>2141</v>
      </c>
      <c r="H463" t="s">
        <v>86</v>
      </c>
      <c r="I463" t="s">
        <v>2143</v>
      </c>
    </row>
    <row r="464" spans="1:9" x14ac:dyDescent="0.35">
      <c r="A464" t="s">
        <v>2145</v>
      </c>
      <c r="B464" t="str">
        <f>"9780813549446"</f>
        <v>9780813549446</v>
      </c>
      <c r="C464" t="s">
        <v>2148</v>
      </c>
      <c r="D464" t="s">
        <v>2146</v>
      </c>
      <c r="E464" t="s">
        <v>366</v>
      </c>
      <c r="H464" t="s">
        <v>22</v>
      </c>
      <c r="I464" t="s">
        <v>2147</v>
      </c>
    </row>
    <row r="465" spans="1:9" x14ac:dyDescent="0.35">
      <c r="A465" t="s">
        <v>2149</v>
      </c>
      <c r="B465" t="str">
        <f>"9780520951853"</f>
        <v>9780520951853</v>
      </c>
      <c r="C465" t="s">
        <v>2152</v>
      </c>
      <c r="D465" t="s">
        <v>2150</v>
      </c>
      <c r="E465" t="s">
        <v>84</v>
      </c>
      <c r="H465" t="s">
        <v>330</v>
      </c>
      <c r="I465" t="s">
        <v>2151</v>
      </c>
    </row>
    <row r="466" spans="1:9" x14ac:dyDescent="0.35">
      <c r="A466" t="s">
        <v>2153</v>
      </c>
      <c r="B466" t="str">
        <f>"9780813548166"</f>
        <v>9780813548166</v>
      </c>
      <c r="C466" t="s">
        <v>2156</v>
      </c>
      <c r="D466" t="s">
        <v>2154</v>
      </c>
      <c r="E466" t="s">
        <v>366</v>
      </c>
      <c r="H466" t="s">
        <v>75</v>
      </c>
      <c r="I466" t="s">
        <v>2155</v>
      </c>
    </row>
    <row r="467" spans="1:9" x14ac:dyDescent="0.35">
      <c r="A467" t="s">
        <v>2157</v>
      </c>
      <c r="B467" t="str">
        <f>"9780813548227"</f>
        <v>9780813548227</v>
      </c>
      <c r="C467" t="s">
        <v>2160</v>
      </c>
      <c r="D467" t="s">
        <v>2158</v>
      </c>
      <c r="E467" t="s">
        <v>366</v>
      </c>
      <c r="H467" t="s">
        <v>75</v>
      </c>
      <c r="I467" t="s">
        <v>2159</v>
      </c>
    </row>
    <row r="468" spans="1:9" x14ac:dyDescent="0.35">
      <c r="A468" t="s">
        <v>2161</v>
      </c>
      <c r="B468" t="str">
        <f>"9780313391606"</f>
        <v>9780313391606</v>
      </c>
      <c r="C468" t="s">
        <v>2164</v>
      </c>
      <c r="D468" t="s">
        <v>2162</v>
      </c>
      <c r="E468" t="s">
        <v>338</v>
      </c>
      <c r="H468" t="s">
        <v>22</v>
      </c>
      <c r="I468" t="s">
        <v>2163</v>
      </c>
    </row>
    <row r="469" spans="1:9" x14ac:dyDescent="0.35">
      <c r="A469" t="s">
        <v>2165</v>
      </c>
      <c r="B469" t="str">
        <f>"9780807869864"</f>
        <v>9780807869864</v>
      </c>
      <c r="C469" t="s">
        <v>2170</v>
      </c>
      <c r="D469" t="s">
        <v>2167</v>
      </c>
      <c r="E469" t="s">
        <v>558</v>
      </c>
      <c r="F469" t="s">
        <v>2166</v>
      </c>
      <c r="H469" t="s">
        <v>2168</v>
      </c>
      <c r="I469" t="s">
        <v>2169</v>
      </c>
    </row>
    <row r="470" spans="1:9" x14ac:dyDescent="0.35">
      <c r="A470" t="s">
        <v>2171</v>
      </c>
      <c r="B470" t="str">
        <f>"9780807869956"</f>
        <v>9780807869956</v>
      </c>
      <c r="C470" t="s">
        <v>2174</v>
      </c>
      <c r="D470" t="s">
        <v>2172</v>
      </c>
      <c r="E470" t="s">
        <v>558</v>
      </c>
      <c r="H470" t="s">
        <v>147</v>
      </c>
      <c r="I470" t="s">
        <v>2173</v>
      </c>
    </row>
    <row r="471" spans="1:9" x14ac:dyDescent="0.35">
      <c r="A471" t="s">
        <v>2175</v>
      </c>
      <c r="B471" t="str">
        <f>"9789888053896"</f>
        <v>9789888053896</v>
      </c>
      <c r="C471" t="s">
        <v>2178</v>
      </c>
      <c r="D471" t="s">
        <v>2176</v>
      </c>
      <c r="E471" t="s">
        <v>1500</v>
      </c>
      <c r="H471" t="s">
        <v>22</v>
      </c>
      <c r="I471" t="s">
        <v>2177</v>
      </c>
    </row>
    <row r="472" spans="1:9" x14ac:dyDescent="0.35">
      <c r="A472" t="s">
        <v>2179</v>
      </c>
      <c r="B472" t="str">
        <f>"9781442213722"</f>
        <v>9781442213722</v>
      </c>
      <c r="C472" t="s">
        <v>2182</v>
      </c>
      <c r="D472" t="s">
        <v>2180</v>
      </c>
      <c r="E472" t="s">
        <v>882</v>
      </c>
      <c r="H472" t="s">
        <v>22</v>
      </c>
      <c r="I472" t="s">
        <v>2181</v>
      </c>
    </row>
    <row r="473" spans="1:9" x14ac:dyDescent="0.35">
      <c r="A473" t="s">
        <v>2183</v>
      </c>
      <c r="B473" t="str">
        <f>"9781400841608"</f>
        <v>9781400841608</v>
      </c>
      <c r="C473" t="s">
        <v>2186</v>
      </c>
      <c r="D473" t="s">
        <v>2184</v>
      </c>
      <c r="E473" t="s">
        <v>858</v>
      </c>
      <c r="H473" t="s">
        <v>58</v>
      </c>
      <c r="I473" t="s">
        <v>2185</v>
      </c>
    </row>
    <row r="474" spans="1:9" x14ac:dyDescent="0.35">
      <c r="A474" t="s">
        <v>2187</v>
      </c>
      <c r="B474" t="str">
        <f>"9780807877074"</f>
        <v>9780807877074</v>
      </c>
      <c r="C474" t="s">
        <v>2190</v>
      </c>
      <c r="D474" t="s">
        <v>2188</v>
      </c>
      <c r="E474" t="s">
        <v>549</v>
      </c>
      <c r="H474" t="s">
        <v>22</v>
      </c>
      <c r="I474" t="s">
        <v>2189</v>
      </c>
    </row>
    <row r="475" spans="1:9" x14ac:dyDescent="0.35">
      <c r="A475" t="s">
        <v>2191</v>
      </c>
      <c r="B475" t="str">
        <f>"9780807877494"</f>
        <v>9780807877494</v>
      </c>
      <c r="C475" t="s">
        <v>2194</v>
      </c>
      <c r="D475" t="s">
        <v>2192</v>
      </c>
      <c r="E475" t="s">
        <v>549</v>
      </c>
      <c r="H475" t="s">
        <v>22</v>
      </c>
      <c r="I475" t="s">
        <v>2193</v>
      </c>
    </row>
    <row r="476" spans="1:9" x14ac:dyDescent="0.35">
      <c r="A476" t="s">
        <v>2195</v>
      </c>
      <c r="B476" t="str">
        <f>"9780807869154"</f>
        <v>9780807869154</v>
      </c>
      <c r="C476" t="s">
        <v>2198</v>
      </c>
      <c r="D476" t="s">
        <v>2196</v>
      </c>
      <c r="E476" t="s">
        <v>558</v>
      </c>
      <c r="H476" t="s">
        <v>138</v>
      </c>
      <c r="I476" t="s">
        <v>2197</v>
      </c>
    </row>
    <row r="477" spans="1:9" x14ac:dyDescent="0.35">
      <c r="A477" t="s">
        <v>2199</v>
      </c>
      <c r="B477" t="str">
        <f>"9780807868102"</f>
        <v>9780807868102</v>
      </c>
      <c r="C477" t="s">
        <v>2202</v>
      </c>
      <c r="D477" t="s">
        <v>2200</v>
      </c>
      <c r="E477" t="s">
        <v>558</v>
      </c>
      <c r="F477" t="s">
        <v>847</v>
      </c>
      <c r="H477" t="s">
        <v>22</v>
      </c>
      <c r="I477" t="s">
        <v>2201</v>
      </c>
    </row>
    <row r="478" spans="1:9" x14ac:dyDescent="0.35">
      <c r="A478" t="s">
        <v>2203</v>
      </c>
      <c r="B478" t="str">
        <f>"9780807877265"</f>
        <v>9780807877265</v>
      </c>
      <c r="C478" t="s">
        <v>2206</v>
      </c>
      <c r="D478" t="s">
        <v>2204</v>
      </c>
      <c r="E478" t="s">
        <v>549</v>
      </c>
      <c r="H478" t="s">
        <v>170</v>
      </c>
      <c r="I478" t="s">
        <v>2205</v>
      </c>
    </row>
    <row r="479" spans="1:9" x14ac:dyDescent="0.35">
      <c r="A479" t="s">
        <v>2207</v>
      </c>
      <c r="B479" t="str">
        <f>"9781139375856"</f>
        <v>9781139375856</v>
      </c>
      <c r="C479" t="s">
        <v>2210</v>
      </c>
      <c r="D479" t="s">
        <v>2208</v>
      </c>
      <c r="E479" t="s">
        <v>390</v>
      </c>
      <c r="H479" t="s">
        <v>147</v>
      </c>
      <c r="I479" t="s">
        <v>2209</v>
      </c>
    </row>
    <row r="480" spans="1:9" x14ac:dyDescent="0.35">
      <c r="A480" t="s">
        <v>2211</v>
      </c>
      <c r="B480" t="str">
        <f>"9781409442363"</f>
        <v>9781409442363</v>
      </c>
      <c r="C480" t="s">
        <v>2214</v>
      </c>
      <c r="D480" t="s">
        <v>2212</v>
      </c>
      <c r="E480" t="s">
        <v>9</v>
      </c>
      <c r="H480" t="s">
        <v>86</v>
      </c>
      <c r="I480" t="s">
        <v>2213</v>
      </c>
    </row>
    <row r="481" spans="1:9" x14ac:dyDescent="0.35">
      <c r="A481" t="s">
        <v>2215</v>
      </c>
      <c r="B481" t="str">
        <f>"9780199862009"</f>
        <v>9780199862009</v>
      </c>
      <c r="C481" t="s">
        <v>2218</v>
      </c>
      <c r="D481" t="s">
        <v>2216</v>
      </c>
      <c r="E481" t="s">
        <v>603</v>
      </c>
      <c r="H481" t="s">
        <v>22</v>
      </c>
      <c r="I481" t="s">
        <v>2217</v>
      </c>
    </row>
    <row r="482" spans="1:9" x14ac:dyDescent="0.35">
      <c r="A482" t="s">
        <v>2219</v>
      </c>
      <c r="B482" t="str">
        <f>"9780199775354"</f>
        <v>9780199775354</v>
      </c>
      <c r="C482" t="s">
        <v>2223</v>
      </c>
      <c r="D482" t="s">
        <v>2220</v>
      </c>
      <c r="E482" t="s">
        <v>603</v>
      </c>
      <c r="F482" t="s">
        <v>824</v>
      </c>
      <c r="H482" t="s">
        <v>2221</v>
      </c>
      <c r="I482" t="s">
        <v>2222</v>
      </c>
    </row>
    <row r="483" spans="1:9" x14ac:dyDescent="0.35">
      <c r="A483" t="s">
        <v>2224</v>
      </c>
      <c r="B483" t="str">
        <f>"9780813548371"</f>
        <v>9780813548371</v>
      </c>
      <c r="C483" t="s">
        <v>2228</v>
      </c>
      <c r="D483" t="s">
        <v>2226</v>
      </c>
      <c r="E483" t="s">
        <v>366</v>
      </c>
      <c r="F483" t="s">
        <v>2225</v>
      </c>
      <c r="H483" t="s">
        <v>854</v>
      </c>
      <c r="I483" t="s">
        <v>2227</v>
      </c>
    </row>
    <row r="484" spans="1:9" x14ac:dyDescent="0.35">
      <c r="A484" t="s">
        <v>2229</v>
      </c>
      <c r="B484" t="str">
        <f>"9783110218640"</f>
        <v>9783110218640</v>
      </c>
      <c r="C484" t="s">
        <v>2233</v>
      </c>
      <c r="D484" t="s">
        <v>2231</v>
      </c>
      <c r="E484" t="s">
        <v>502</v>
      </c>
      <c r="F484" t="s">
        <v>2230</v>
      </c>
      <c r="H484" t="s">
        <v>163</v>
      </c>
      <c r="I484" t="s">
        <v>2232</v>
      </c>
    </row>
    <row r="485" spans="1:9" x14ac:dyDescent="0.35">
      <c r="A485" t="s">
        <v>2234</v>
      </c>
      <c r="B485" t="str">
        <f>"9780520952362"</f>
        <v>9780520952362</v>
      </c>
      <c r="C485" t="s">
        <v>2237</v>
      </c>
      <c r="D485" t="s">
        <v>2235</v>
      </c>
      <c r="E485" t="s">
        <v>84</v>
      </c>
      <c r="H485" t="s">
        <v>86</v>
      </c>
      <c r="I485" t="s">
        <v>2236</v>
      </c>
    </row>
    <row r="486" spans="1:9" x14ac:dyDescent="0.35">
      <c r="A486" t="s">
        <v>2238</v>
      </c>
      <c r="B486" t="str">
        <f>"9780816680290"</f>
        <v>9780816680290</v>
      </c>
      <c r="C486" t="s">
        <v>2241</v>
      </c>
      <c r="D486" t="s">
        <v>2239</v>
      </c>
      <c r="E486" t="s">
        <v>305</v>
      </c>
      <c r="H486" t="s">
        <v>147</v>
      </c>
      <c r="I486" t="s">
        <v>2240</v>
      </c>
    </row>
    <row r="487" spans="1:9" x14ac:dyDescent="0.35">
      <c r="A487" t="s">
        <v>2242</v>
      </c>
      <c r="B487" t="str">
        <f>"9780816680207"</f>
        <v>9780816680207</v>
      </c>
      <c r="C487" t="s">
        <v>2245</v>
      </c>
      <c r="D487" t="s">
        <v>2243</v>
      </c>
      <c r="E487" t="s">
        <v>305</v>
      </c>
      <c r="H487" t="s">
        <v>1162</v>
      </c>
      <c r="I487" t="s">
        <v>2244</v>
      </c>
    </row>
    <row r="488" spans="1:9" x14ac:dyDescent="0.35">
      <c r="A488" t="s">
        <v>2246</v>
      </c>
      <c r="B488" t="str">
        <f>"9781409444480"</f>
        <v>9781409444480</v>
      </c>
      <c r="C488" t="s">
        <v>2249</v>
      </c>
      <c r="D488" t="s">
        <v>2247</v>
      </c>
      <c r="E488" t="s">
        <v>9</v>
      </c>
      <c r="H488" t="s">
        <v>17</v>
      </c>
      <c r="I488" t="s">
        <v>2248</v>
      </c>
    </row>
    <row r="489" spans="1:9" x14ac:dyDescent="0.35">
      <c r="A489" t="s">
        <v>2250</v>
      </c>
      <c r="B489" t="str">
        <f>"9780231521017"</f>
        <v>9780231521017</v>
      </c>
      <c r="C489" t="s">
        <v>2255</v>
      </c>
      <c r="D489" t="s">
        <v>2253</v>
      </c>
      <c r="E489" t="s">
        <v>2251</v>
      </c>
      <c r="F489" t="s">
        <v>2252</v>
      </c>
      <c r="H489" t="s">
        <v>163</v>
      </c>
      <c r="I489" t="s">
        <v>2254</v>
      </c>
    </row>
    <row r="490" spans="1:9" x14ac:dyDescent="0.35">
      <c r="A490" t="s">
        <v>2256</v>
      </c>
      <c r="B490" t="str">
        <f>"9780231509855"</f>
        <v>9780231509855</v>
      </c>
      <c r="C490" t="s">
        <v>2259</v>
      </c>
      <c r="D490" t="s">
        <v>2257</v>
      </c>
      <c r="E490" t="s">
        <v>2251</v>
      </c>
      <c r="H490" t="s">
        <v>22</v>
      </c>
      <c r="I490" t="s">
        <v>2258</v>
      </c>
    </row>
    <row r="491" spans="1:9" x14ac:dyDescent="0.35">
      <c r="A491" t="s">
        <v>2260</v>
      </c>
      <c r="B491" t="str">
        <f>"9780231510547"</f>
        <v>9780231510547</v>
      </c>
      <c r="C491" t="s">
        <v>2263</v>
      </c>
      <c r="D491" t="s">
        <v>2261</v>
      </c>
      <c r="E491" t="s">
        <v>2251</v>
      </c>
      <c r="H491" t="s">
        <v>22</v>
      </c>
      <c r="I491" t="s">
        <v>2262</v>
      </c>
    </row>
    <row r="492" spans="1:9" x14ac:dyDescent="0.35">
      <c r="A492" t="s">
        <v>2264</v>
      </c>
      <c r="B492" t="str">
        <f>"9780231512985"</f>
        <v>9780231512985</v>
      </c>
      <c r="C492" t="s">
        <v>2267</v>
      </c>
      <c r="D492" t="s">
        <v>2265</v>
      </c>
      <c r="E492" t="s">
        <v>2251</v>
      </c>
      <c r="H492" t="s">
        <v>22</v>
      </c>
      <c r="I492" t="s">
        <v>2266</v>
      </c>
    </row>
    <row r="493" spans="1:9" x14ac:dyDescent="0.35">
      <c r="A493" t="s">
        <v>2268</v>
      </c>
      <c r="B493" t="str">
        <f>"9780231513111"</f>
        <v>9780231513111</v>
      </c>
      <c r="C493" t="s">
        <v>2271</v>
      </c>
      <c r="D493" t="s">
        <v>2269</v>
      </c>
      <c r="E493" t="s">
        <v>2251</v>
      </c>
      <c r="H493" t="s">
        <v>22</v>
      </c>
      <c r="I493" t="s">
        <v>2270</v>
      </c>
    </row>
    <row r="494" spans="1:9" x14ac:dyDescent="0.35">
      <c r="A494" t="s">
        <v>2272</v>
      </c>
      <c r="B494" t="str">
        <f>"9780231519557"</f>
        <v>9780231519557</v>
      </c>
      <c r="C494" t="s">
        <v>2276</v>
      </c>
      <c r="D494" t="s">
        <v>2274</v>
      </c>
      <c r="E494" t="s">
        <v>2251</v>
      </c>
      <c r="F494" t="s">
        <v>2273</v>
      </c>
      <c r="H494" t="s">
        <v>11</v>
      </c>
      <c r="I494" t="s">
        <v>2275</v>
      </c>
    </row>
    <row r="495" spans="1:9" x14ac:dyDescent="0.35">
      <c r="A495" t="s">
        <v>2277</v>
      </c>
      <c r="B495" t="str">
        <f>"9780231525305"</f>
        <v>9780231525305</v>
      </c>
      <c r="C495" t="s">
        <v>2280</v>
      </c>
      <c r="D495" t="s">
        <v>2278</v>
      </c>
      <c r="E495" t="s">
        <v>2251</v>
      </c>
      <c r="H495" t="s">
        <v>330</v>
      </c>
      <c r="I495" t="s">
        <v>2279</v>
      </c>
    </row>
    <row r="496" spans="1:9" x14ac:dyDescent="0.35">
      <c r="A496" t="s">
        <v>2281</v>
      </c>
      <c r="B496" t="str">
        <f>"9780231509169"</f>
        <v>9780231509169</v>
      </c>
      <c r="C496" t="s">
        <v>2285</v>
      </c>
      <c r="D496" t="s">
        <v>2283</v>
      </c>
      <c r="E496" t="s">
        <v>2251</v>
      </c>
      <c r="F496" t="s">
        <v>2282</v>
      </c>
      <c r="H496" t="s">
        <v>531</v>
      </c>
      <c r="I496" t="s">
        <v>2284</v>
      </c>
    </row>
    <row r="497" spans="1:9" x14ac:dyDescent="0.35">
      <c r="A497" t="s">
        <v>2286</v>
      </c>
      <c r="B497" t="str">
        <f>"9780231508377"</f>
        <v>9780231508377</v>
      </c>
      <c r="C497" t="s">
        <v>2289</v>
      </c>
      <c r="D497" t="s">
        <v>2287</v>
      </c>
      <c r="E497" t="s">
        <v>2251</v>
      </c>
      <c r="H497" t="s">
        <v>22</v>
      </c>
      <c r="I497" t="s">
        <v>2288</v>
      </c>
    </row>
    <row r="498" spans="1:9" x14ac:dyDescent="0.35">
      <c r="A498" t="s">
        <v>2290</v>
      </c>
      <c r="B498" t="str">
        <f>"9780231503501"</f>
        <v>9780231503501</v>
      </c>
      <c r="C498" t="s">
        <v>2293</v>
      </c>
      <c r="D498" t="s">
        <v>2291</v>
      </c>
      <c r="E498" t="s">
        <v>2251</v>
      </c>
      <c r="H498" t="s">
        <v>22</v>
      </c>
      <c r="I498" t="s">
        <v>2292</v>
      </c>
    </row>
    <row r="499" spans="1:9" x14ac:dyDescent="0.35">
      <c r="A499" t="s">
        <v>2294</v>
      </c>
      <c r="B499" t="str">
        <f>"9780231503839"</f>
        <v>9780231503839</v>
      </c>
      <c r="C499" t="s">
        <v>2297</v>
      </c>
      <c r="D499" t="s">
        <v>2295</v>
      </c>
      <c r="E499" t="s">
        <v>2251</v>
      </c>
      <c r="F499" t="s">
        <v>2282</v>
      </c>
      <c r="H499" t="s">
        <v>147</v>
      </c>
      <c r="I499" t="s">
        <v>2296</v>
      </c>
    </row>
    <row r="500" spans="1:9" x14ac:dyDescent="0.35">
      <c r="A500" t="s">
        <v>2298</v>
      </c>
      <c r="B500" t="str">
        <f>"9780231507257"</f>
        <v>9780231507257</v>
      </c>
      <c r="C500" t="s">
        <v>2302</v>
      </c>
      <c r="D500" t="s">
        <v>2299</v>
      </c>
      <c r="E500" t="s">
        <v>2251</v>
      </c>
      <c r="F500" t="s">
        <v>2252</v>
      </c>
      <c r="H500" t="s">
        <v>2300</v>
      </c>
      <c r="I500" t="s">
        <v>2301</v>
      </c>
    </row>
    <row r="501" spans="1:9" x14ac:dyDescent="0.35">
      <c r="A501" t="s">
        <v>2303</v>
      </c>
      <c r="B501" t="str">
        <f>"9780231508667"</f>
        <v>9780231508667</v>
      </c>
      <c r="C501" t="s">
        <v>2306</v>
      </c>
      <c r="D501" t="s">
        <v>2304</v>
      </c>
      <c r="E501" t="s">
        <v>2251</v>
      </c>
      <c r="F501" t="s">
        <v>2282</v>
      </c>
      <c r="H501" t="s">
        <v>22</v>
      </c>
      <c r="I501" t="s">
        <v>2305</v>
      </c>
    </row>
    <row r="502" spans="1:9" x14ac:dyDescent="0.35">
      <c r="A502" t="s">
        <v>2307</v>
      </c>
      <c r="B502" t="str">
        <f>"9780231850155"</f>
        <v>9780231850155</v>
      </c>
      <c r="C502" t="s">
        <v>2310</v>
      </c>
      <c r="D502" t="s">
        <v>2308</v>
      </c>
      <c r="E502" t="s">
        <v>2251</v>
      </c>
      <c r="H502" t="s">
        <v>86</v>
      </c>
      <c r="I502" t="s">
        <v>2309</v>
      </c>
    </row>
    <row r="503" spans="1:9" x14ac:dyDescent="0.35">
      <c r="A503" t="s">
        <v>2311</v>
      </c>
      <c r="B503" t="str">
        <f>"9781442213067"</f>
        <v>9781442213067</v>
      </c>
      <c r="C503" t="s">
        <v>2315</v>
      </c>
      <c r="D503" t="s">
        <v>2312</v>
      </c>
      <c r="E503" t="s">
        <v>882</v>
      </c>
      <c r="H503" t="s">
        <v>2313</v>
      </c>
      <c r="I503" t="s">
        <v>2314</v>
      </c>
    </row>
    <row r="504" spans="1:9" x14ac:dyDescent="0.35">
      <c r="A504" t="s">
        <v>2316</v>
      </c>
      <c r="B504" t="str">
        <f>"9781609380946"</f>
        <v>9781609380946</v>
      </c>
      <c r="C504" t="s">
        <v>2320</v>
      </c>
      <c r="D504" t="s">
        <v>2318</v>
      </c>
      <c r="E504" t="s">
        <v>2025</v>
      </c>
      <c r="F504" t="s">
        <v>2317</v>
      </c>
      <c r="H504" t="s">
        <v>147</v>
      </c>
      <c r="I504" t="s">
        <v>2319</v>
      </c>
    </row>
    <row r="505" spans="1:9" x14ac:dyDescent="0.35">
      <c r="A505" t="s">
        <v>2321</v>
      </c>
      <c r="B505" t="str">
        <f>"9781780429526"</f>
        <v>9781780429526</v>
      </c>
      <c r="C505" t="s">
        <v>2326</v>
      </c>
      <c r="D505" t="s">
        <v>2324</v>
      </c>
      <c r="E505" t="s">
        <v>2322</v>
      </c>
      <c r="F505" t="s">
        <v>2323</v>
      </c>
      <c r="H505" t="s">
        <v>86</v>
      </c>
      <c r="I505" t="s">
        <v>2325</v>
      </c>
    </row>
    <row r="506" spans="1:9" x14ac:dyDescent="0.35">
      <c r="A506" t="s">
        <v>2327</v>
      </c>
      <c r="B506" t="str">
        <f>"9780857453389"</f>
        <v>9780857453389</v>
      </c>
      <c r="C506" t="s">
        <v>2331</v>
      </c>
      <c r="D506" t="s">
        <v>2329</v>
      </c>
      <c r="E506" t="s">
        <v>1700</v>
      </c>
      <c r="F506" t="s">
        <v>2328</v>
      </c>
      <c r="H506" t="s">
        <v>22</v>
      </c>
      <c r="I506" t="s">
        <v>2330</v>
      </c>
    </row>
    <row r="507" spans="1:9" x14ac:dyDescent="0.35">
      <c r="A507" t="s">
        <v>2332</v>
      </c>
      <c r="B507" t="str">
        <f>"9780857453020"</f>
        <v>9780857453020</v>
      </c>
      <c r="C507" t="s">
        <v>2335</v>
      </c>
      <c r="D507" t="s">
        <v>2333</v>
      </c>
      <c r="E507" t="s">
        <v>1700</v>
      </c>
      <c r="H507" t="s">
        <v>22</v>
      </c>
      <c r="I507" t="s">
        <v>2334</v>
      </c>
    </row>
    <row r="508" spans="1:9" x14ac:dyDescent="0.35">
      <c r="A508" t="s">
        <v>2336</v>
      </c>
      <c r="B508" t="str">
        <f>"9780803240339"</f>
        <v>9780803240339</v>
      </c>
      <c r="C508" t="s">
        <v>2341</v>
      </c>
      <c r="D508" t="s">
        <v>2339</v>
      </c>
      <c r="E508" t="s">
        <v>2337</v>
      </c>
      <c r="F508" t="s">
        <v>2338</v>
      </c>
      <c r="H508" t="s">
        <v>38</v>
      </c>
      <c r="I508" t="s">
        <v>2340</v>
      </c>
    </row>
    <row r="509" spans="1:9" x14ac:dyDescent="0.35">
      <c r="A509" t="s">
        <v>2342</v>
      </c>
      <c r="B509" t="str">
        <f>"9781431404049"</f>
        <v>9781431404049</v>
      </c>
      <c r="C509" t="s">
        <v>2346</v>
      </c>
      <c r="D509" t="s">
        <v>2344</v>
      </c>
      <c r="E509" t="s">
        <v>2343</v>
      </c>
      <c r="H509" t="s">
        <v>22</v>
      </c>
      <c r="I509" t="s">
        <v>2345</v>
      </c>
    </row>
    <row r="510" spans="1:9" x14ac:dyDescent="0.35">
      <c r="A510" t="s">
        <v>2347</v>
      </c>
      <c r="B510" t="str">
        <f>"9789004227002"</f>
        <v>9789004227002</v>
      </c>
      <c r="C510" t="s">
        <v>2351</v>
      </c>
      <c r="D510" t="s">
        <v>2349</v>
      </c>
      <c r="E510" t="s">
        <v>901</v>
      </c>
      <c r="F510" t="s">
        <v>2348</v>
      </c>
      <c r="H510" t="s">
        <v>147</v>
      </c>
      <c r="I510" t="s">
        <v>2350</v>
      </c>
    </row>
    <row r="511" spans="1:9" x14ac:dyDescent="0.35">
      <c r="A511" t="s">
        <v>2352</v>
      </c>
      <c r="B511" t="str">
        <f>"9780813042244"</f>
        <v>9780813042244</v>
      </c>
      <c r="C511" t="s">
        <v>2356</v>
      </c>
      <c r="D511" t="s">
        <v>2354</v>
      </c>
      <c r="E511" t="s">
        <v>2353</v>
      </c>
      <c r="H511" t="s">
        <v>38</v>
      </c>
      <c r="I511" t="s">
        <v>2355</v>
      </c>
    </row>
    <row r="512" spans="1:9" x14ac:dyDescent="0.35">
      <c r="A512" t="s">
        <v>2357</v>
      </c>
      <c r="B512" t="str">
        <f>"9780231504089"</f>
        <v>9780231504089</v>
      </c>
      <c r="C512" t="s">
        <v>2360</v>
      </c>
      <c r="D512" t="s">
        <v>2358</v>
      </c>
      <c r="E512" t="s">
        <v>2251</v>
      </c>
      <c r="H512" t="s">
        <v>2221</v>
      </c>
      <c r="I512" t="s">
        <v>2359</v>
      </c>
    </row>
    <row r="513" spans="1:9" x14ac:dyDescent="0.35">
      <c r="A513" t="s">
        <v>2361</v>
      </c>
      <c r="B513" t="str">
        <f>"9781409435839"</f>
        <v>9781409435839</v>
      </c>
      <c r="C513" t="s">
        <v>2364</v>
      </c>
      <c r="D513" t="s">
        <v>2362</v>
      </c>
      <c r="E513" t="s">
        <v>9</v>
      </c>
      <c r="H513" t="s">
        <v>22</v>
      </c>
      <c r="I513" t="s">
        <v>2363</v>
      </c>
    </row>
    <row r="514" spans="1:9" x14ac:dyDescent="0.35">
      <c r="A514" t="s">
        <v>2365</v>
      </c>
      <c r="B514" t="str">
        <f>"9789185509799"</f>
        <v>9789185509799</v>
      </c>
      <c r="C514" t="s">
        <v>2369</v>
      </c>
      <c r="D514" t="s">
        <v>2367</v>
      </c>
      <c r="E514" t="s">
        <v>2366</v>
      </c>
      <c r="H514" t="s">
        <v>377</v>
      </c>
      <c r="I514" t="s">
        <v>2368</v>
      </c>
    </row>
    <row r="515" spans="1:9" x14ac:dyDescent="0.35">
      <c r="A515" t="s">
        <v>2370</v>
      </c>
      <c r="B515" t="str">
        <f>"9781442209268"</f>
        <v>9781442209268</v>
      </c>
      <c r="C515" t="s">
        <v>2373</v>
      </c>
      <c r="D515" t="s">
        <v>2371</v>
      </c>
      <c r="E515" t="s">
        <v>882</v>
      </c>
      <c r="H515" t="s">
        <v>22</v>
      </c>
      <c r="I515" t="s">
        <v>2372</v>
      </c>
    </row>
    <row r="516" spans="1:9" x14ac:dyDescent="0.35">
      <c r="A516" t="s">
        <v>2374</v>
      </c>
      <c r="B516" t="str">
        <f>"9780857454799"</f>
        <v>9780857454799</v>
      </c>
      <c r="C516" t="s">
        <v>2377</v>
      </c>
      <c r="D516" t="s">
        <v>2375</v>
      </c>
      <c r="E516" t="s">
        <v>1700</v>
      </c>
      <c r="H516" t="s">
        <v>22</v>
      </c>
      <c r="I516" t="s">
        <v>2376</v>
      </c>
    </row>
    <row r="517" spans="1:9" x14ac:dyDescent="0.35">
      <c r="A517" t="s">
        <v>2378</v>
      </c>
      <c r="B517" t="str">
        <f>"9780203123751"</f>
        <v>9780203123751</v>
      </c>
      <c r="C517" t="s">
        <v>2382</v>
      </c>
      <c r="D517" t="s">
        <v>2380</v>
      </c>
      <c r="E517" t="s">
        <v>9</v>
      </c>
      <c r="F517" t="s">
        <v>2379</v>
      </c>
      <c r="H517" t="s">
        <v>1858</v>
      </c>
      <c r="I517" t="s">
        <v>2381</v>
      </c>
    </row>
    <row r="518" spans="1:9" x14ac:dyDescent="0.35">
      <c r="A518" t="s">
        <v>2383</v>
      </c>
      <c r="B518" t="str">
        <f>"9780203142912"</f>
        <v>9780203142912</v>
      </c>
      <c r="C518" t="s">
        <v>2387</v>
      </c>
      <c r="D518" t="s">
        <v>2385</v>
      </c>
      <c r="E518" t="s">
        <v>9</v>
      </c>
      <c r="F518" t="s">
        <v>2384</v>
      </c>
      <c r="H518" t="s">
        <v>116</v>
      </c>
      <c r="I518" t="s">
        <v>2386</v>
      </c>
    </row>
    <row r="519" spans="1:9" x14ac:dyDescent="0.35">
      <c r="A519" t="s">
        <v>2388</v>
      </c>
      <c r="B519" t="str">
        <f>"9780203802434"</f>
        <v>9780203802434</v>
      </c>
      <c r="C519" t="s">
        <v>2391</v>
      </c>
      <c r="D519" t="s">
        <v>2389</v>
      </c>
      <c r="E519" t="s">
        <v>9</v>
      </c>
      <c r="H519" t="s">
        <v>22</v>
      </c>
      <c r="I519" t="s">
        <v>2390</v>
      </c>
    </row>
    <row r="520" spans="1:9" x14ac:dyDescent="0.35">
      <c r="A520" t="s">
        <v>2392</v>
      </c>
      <c r="B520" t="str">
        <f>"9780203123461"</f>
        <v>9780203123461</v>
      </c>
      <c r="C520" t="s">
        <v>2397</v>
      </c>
      <c r="D520" t="s">
        <v>2394</v>
      </c>
      <c r="E520" t="s">
        <v>9</v>
      </c>
      <c r="F520" t="s">
        <v>2393</v>
      </c>
      <c r="H520" t="s">
        <v>2395</v>
      </c>
      <c r="I520" t="s">
        <v>2396</v>
      </c>
    </row>
    <row r="521" spans="1:9" x14ac:dyDescent="0.35">
      <c r="A521" t="s">
        <v>2398</v>
      </c>
      <c r="B521" t="str">
        <f>"9780203127575"</f>
        <v>9780203127575</v>
      </c>
      <c r="C521" t="s">
        <v>2401</v>
      </c>
      <c r="D521" t="s">
        <v>2399</v>
      </c>
      <c r="E521" t="s">
        <v>9</v>
      </c>
      <c r="H521" t="s">
        <v>531</v>
      </c>
      <c r="I521" t="s">
        <v>2400</v>
      </c>
    </row>
    <row r="522" spans="1:9" x14ac:dyDescent="0.35">
      <c r="A522" t="s">
        <v>2402</v>
      </c>
      <c r="B522" t="str">
        <f>"9780203816066"</f>
        <v>9780203816066</v>
      </c>
      <c r="C522" t="s">
        <v>2406</v>
      </c>
      <c r="D522" t="s">
        <v>2404</v>
      </c>
      <c r="E522" t="s">
        <v>9</v>
      </c>
      <c r="F522" t="s">
        <v>2403</v>
      </c>
      <c r="H522" t="s">
        <v>330</v>
      </c>
      <c r="I522" t="s">
        <v>2405</v>
      </c>
    </row>
    <row r="523" spans="1:9" x14ac:dyDescent="0.35">
      <c r="A523" t="s">
        <v>2407</v>
      </c>
      <c r="B523" t="str">
        <f>"9780203127971"</f>
        <v>9780203127971</v>
      </c>
      <c r="C523" t="s">
        <v>2410</v>
      </c>
      <c r="D523" t="s">
        <v>2408</v>
      </c>
      <c r="E523" t="s">
        <v>9</v>
      </c>
      <c r="H523" t="s">
        <v>22</v>
      </c>
      <c r="I523" t="s">
        <v>2409</v>
      </c>
    </row>
    <row r="524" spans="1:9" x14ac:dyDescent="0.35">
      <c r="A524" t="s">
        <v>2411</v>
      </c>
      <c r="B524" t="str">
        <f>"9780203816530"</f>
        <v>9780203816530</v>
      </c>
      <c r="C524" t="s">
        <v>2414</v>
      </c>
      <c r="D524" t="s">
        <v>2412</v>
      </c>
      <c r="E524" t="s">
        <v>9</v>
      </c>
      <c r="H524" t="s">
        <v>330</v>
      </c>
      <c r="I524" t="s">
        <v>2413</v>
      </c>
    </row>
    <row r="525" spans="1:9" x14ac:dyDescent="0.35">
      <c r="A525" t="s">
        <v>2415</v>
      </c>
      <c r="B525" t="str">
        <f>"9780203861493"</f>
        <v>9780203861493</v>
      </c>
      <c r="C525" t="s">
        <v>2419</v>
      </c>
      <c r="D525" t="s">
        <v>2417</v>
      </c>
      <c r="E525" t="s">
        <v>9</v>
      </c>
      <c r="F525" t="s">
        <v>2416</v>
      </c>
      <c r="H525" t="s">
        <v>22</v>
      </c>
      <c r="I525" t="s">
        <v>2418</v>
      </c>
    </row>
    <row r="526" spans="1:9" x14ac:dyDescent="0.35">
      <c r="A526" t="s">
        <v>2420</v>
      </c>
      <c r="B526" t="str">
        <f>"9780203802397"</f>
        <v>9780203802397</v>
      </c>
      <c r="C526" t="s">
        <v>2423</v>
      </c>
      <c r="D526" t="s">
        <v>2421</v>
      </c>
      <c r="E526" t="s">
        <v>9</v>
      </c>
      <c r="H526" t="s">
        <v>932</v>
      </c>
      <c r="I526" t="s">
        <v>2422</v>
      </c>
    </row>
    <row r="527" spans="1:9" x14ac:dyDescent="0.35">
      <c r="A527" t="s">
        <v>2424</v>
      </c>
      <c r="B527" t="str">
        <f>"9780203122556"</f>
        <v>9780203122556</v>
      </c>
      <c r="C527" t="s">
        <v>2427</v>
      </c>
      <c r="D527" t="s">
        <v>2425</v>
      </c>
      <c r="E527" t="s">
        <v>9</v>
      </c>
      <c r="H527" t="s">
        <v>406</v>
      </c>
      <c r="I527" t="s">
        <v>2426</v>
      </c>
    </row>
    <row r="528" spans="1:9" x14ac:dyDescent="0.35">
      <c r="A528" t="s">
        <v>2428</v>
      </c>
      <c r="B528" t="str">
        <f>"9780203870020"</f>
        <v>9780203870020</v>
      </c>
      <c r="C528" t="s">
        <v>2433</v>
      </c>
      <c r="D528" t="s">
        <v>2430</v>
      </c>
      <c r="E528" t="s">
        <v>9</v>
      </c>
      <c r="F528" t="s">
        <v>2429</v>
      </c>
      <c r="H528" t="s">
        <v>2431</v>
      </c>
      <c r="I528" t="s">
        <v>2432</v>
      </c>
    </row>
    <row r="529" spans="1:9" x14ac:dyDescent="0.35">
      <c r="A529" t="s">
        <v>2434</v>
      </c>
      <c r="B529" t="str">
        <f>"9780813539324"</f>
        <v>9780813539324</v>
      </c>
      <c r="C529" t="s">
        <v>2437</v>
      </c>
      <c r="D529" t="s">
        <v>2435</v>
      </c>
      <c r="E529" t="s">
        <v>366</v>
      </c>
      <c r="H529" t="s">
        <v>86</v>
      </c>
      <c r="I529" t="s">
        <v>2436</v>
      </c>
    </row>
    <row r="530" spans="1:9" x14ac:dyDescent="0.35">
      <c r="A530" t="s">
        <v>2438</v>
      </c>
      <c r="B530" t="str">
        <f>"9780739173794"</f>
        <v>9780739173794</v>
      </c>
      <c r="C530" t="s">
        <v>2441</v>
      </c>
      <c r="D530" t="s">
        <v>2439</v>
      </c>
      <c r="E530" t="s">
        <v>887</v>
      </c>
      <c r="H530" t="s">
        <v>86</v>
      </c>
      <c r="I530" t="s">
        <v>2440</v>
      </c>
    </row>
    <row r="531" spans="1:9" x14ac:dyDescent="0.35">
      <c r="A531" t="s">
        <v>2442</v>
      </c>
      <c r="B531" t="str">
        <f>"9789401207881"</f>
        <v>9789401207881</v>
      </c>
      <c r="C531" t="s">
        <v>2447</v>
      </c>
      <c r="D531" t="s">
        <v>2444</v>
      </c>
      <c r="E531" t="s">
        <v>901</v>
      </c>
      <c r="F531" t="s">
        <v>2443</v>
      </c>
      <c r="H531" t="s">
        <v>2445</v>
      </c>
      <c r="I531" t="s">
        <v>2446</v>
      </c>
    </row>
    <row r="532" spans="1:9" x14ac:dyDescent="0.35">
      <c r="A532" t="s">
        <v>2448</v>
      </c>
      <c r="B532" t="str">
        <f>"9781136328992"</f>
        <v>9781136328992</v>
      </c>
      <c r="C532" t="s">
        <v>2452</v>
      </c>
      <c r="D532" t="s">
        <v>2450</v>
      </c>
      <c r="E532" t="s">
        <v>9</v>
      </c>
      <c r="F532" t="s">
        <v>2449</v>
      </c>
      <c r="H532" t="s">
        <v>75</v>
      </c>
      <c r="I532" t="s">
        <v>2451</v>
      </c>
    </row>
    <row r="533" spans="1:9" x14ac:dyDescent="0.35">
      <c r="A533" t="s">
        <v>2453</v>
      </c>
      <c r="B533" t="str">
        <f>"9781136312601"</f>
        <v>9781136312601</v>
      </c>
      <c r="C533" t="s">
        <v>2457</v>
      </c>
      <c r="D533" t="s">
        <v>2455</v>
      </c>
      <c r="E533" t="s">
        <v>9</v>
      </c>
      <c r="F533" t="s">
        <v>2454</v>
      </c>
      <c r="H533" t="s">
        <v>22</v>
      </c>
      <c r="I533" t="s">
        <v>2456</v>
      </c>
    </row>
    <row r="534" spans="1:9" x14ac:dyDescent="0.35">
      <c r="A534" t="s">
        <v>2458</v>
      </c>
      <c r="B534" t="str">
        <f>"9781136331589"</f>
        <v>9781136331589</v>
      </c>
      <c r="C534" t="s">
        <v>2461</v>
      </c>
      <c r="D534" t="s">
        <v>1299</v>
      </c>
      <c r="E534" t="s">
        <v>9</v>
      </c>
      <c r="F534" t="s">
        <v>2459</v>
      </c>
      <c r="H534" t="s">
        <v>625</v>
      </c>
      <c r="I534" t="s">
        <v>2460</v>
      </c>
    </row>
    <row r="535" spans="1:9" x14ac:dyDescent="0.35">
      <c r="A535" t="s">
        <v>2462</v>
      </c>
      <c r="B535" t="str">
        <f>"9781136255991"</f>
        <v>9781136255991</v>
      </c>
      <c r="C535" t="s">
        <v>2465</v>
      </c>
      <c r="D535" t="s">
        <v>2463</v>
      </c>
      <c r="E535" t="s">
        <v>9</v>
      </c>
      <c r="H535" t="s">
        <v>330</v>
      </c>
      <c r="I535" t="s">
        <v>2464</v>
      </c>
    </row>
    <row r="536" spans="1:9" x14ac:dyDescent="0.35">
      <c r="A536" t="s">
        <v>2466</v>
      </c>
      <c r="B536" t="str">
        <f>"9781136329975"</f>
        <v>9781136329975</v>
      </c>
      <c r="C536" t="s">
        <v>2469</v>
      </c>
      <c r="D536" t="s">
        <v>2467</v>
      </c>
      <c r="E536" t="s">
        <v>9</v>
      </c>
      <c r="H536" t="s">
        <v>197</v>
      </c>
      <c r="I536" t="s">
        <v>2468</v>
      </c>
    </row>
    <row r="537" spans="1:9" x14ac:dyDescent="0.35">
      <c r="A537" t="s">
        <v>2470</v>
      </c>
      <c r="B537" t="str">
        <f>"9781136308031"</f>
        <v>9781136308031</v>
      </c>
      <c r="C537" t="s">
        <v>2473</v>
      </c>
      <c r="D537" t="s">
        <v>2471</v>
      </c>
      <c r="E537" t="s">
        <v>9</v>
      </c>
      <c r="H537" t="s">
        <v>86</v>
      </c>
      <c r="I537" t="s">
        <v>2472</v>
      </c>
    </row>
    <row r="538" spans="1:9" x14ac:dyDescent="0.35">
      <c r="A538" t="s">
        <v>2474</v>
      </c>
      <c r="B538" t="str">
        <f>"9781136328787"</f>
        <v>9781136328787</v>
      </c>
      <c r="C538" t="s">
        <v>2478</v>
      </c>
      <c r="D538" t="s">
        <v>2476</v>
      </c>
      <c r="E538" t="s">
        <v>9</v>
      </c>
      <c r="F538" t="s">
        <v>2475</v>
      </c>
      <c r="H538" t="s">
        <v>17</v>
      </c>
      <c r="I538" t="s">
        <v>2477</v>
      </c>
    </row>
    <row r="539" spans="1:9" x14ac:dyDescent="0.35">
      <c r="A539" t="s">
        <v>2479</v>
      </c>
      <c r="B539" t="str">
        <f>"9781136323157"</f>
        <v>9781136323157</v>
      </c>
      <c r="C539" t="s">
        <v>2482</v>
      </c>
      <c r="D539" t="s">
        <v>2480</v>
      </c>
      <c r="E539" t="s">
        <v>9</v>
      </c>
      <c r="H539" t="s">
        <v>22</v>
      </c>
      <c r="I539" t="s">
        <v>2481</v>
      </c>
    </row>
    <row r="540" spans="1:9" x14ac:dyDescent="0.35">
      <c r="A540" t="s">
        <v>2483</v>
      </c>
      <c r="B540" t="str">
        <f>"9781136575976"</f>
        <v>9781136575976</v>
      </c>
      <c r="C540" t="s">
        <v>2487</v>
      </c>
      <c r="D540" t="s">
        <v>2485</v>
      </c>
      <c r="E540" t="s">
        <v>2484</v>
      </c>
      <c r="H540" t="s">
        <v>22</v>
      </c>
      <c r="I540" t="s">
        <v>2486</v>
      </c>
    </row>
    <row r="541" spans="1:9" x14ac:dyDescent="0.35">
      <c r="A541" t="s">
        <v>2488</v>
      </c>
      <c r="B541" t="str">
        <f>"9781136959394"</f>
        <v>9781136959394</v>
      </c>
      <c r="C541" t="s">
        <v>2492</v>
      </c>
      <c r="D541" t="s">
        <v>2490</v>
      </c>
      <c r="E541" t="s">
        <v>9</v>
      </c>
      <c r="F541" t="s">
        <v>2489</v>
      </c>
      <c r="H541" t="s">
        <v>849</v>
      </c>
      <c r="I541" t="s">
        <v>2491</v>
      </c>
    </row>
    <row r="542" spans="1:9" x14ac:dyDescent="0.35">
      <c r="A542" t="s">
        <v>2493</v>
      </c>
      <c r="B542" t="str">
        <f>"9781136496646"</f>
        <v>9781136496646</v>
      </c>
      <c r="C542" t="s">
        <v>2496</v>
      </c>
      <c r="D542" t="s">
        <v>2494</v>
      </c>
      <c r="E542" t="s">
        <v>9</v>
      </c>
      <c r="H542" t="s">
        <v>22</v>
      </c>
      <c r="I542" t="s">
        <v>2495</v>
      </c>
    </row>
    <row r="543" spans="1:9" x14ac:dyDescent="0.35">
      <c r="A543" t="s">
        <v>2497</v>
      </c>
      <c r="B543" t="str">
        <f>"9780813553702"</f>
        <v>9780813553702</v>
      </c>
      <c r="C543" t="s">
        <v>2500</v>
      </c>
      <c r="D543" t="s">
        <v>2498</v>
      </c>
      <c r="E543" t="s">
        <v>366</v>
      </c>
      <c r="F543" t="s">
        <v>739</v>
      </c>
      <c r="H543" t="s">
        <v>209</v>
      </c>
      <c r="I543" t="s">
        <v>2499</v>
      </c>
    </row>
    <row r="544" spans="1:9" x14ac:dyDescent="0.35">
      <c r="A544" t="s">
        <v>2501</v>
      </c>
      <c r="B544" t="str">
        <f>"9781442201019"</f>
        <v>9781442201019</v>
      </c>
      <c r="C544" t="s">
        <v>2503</v>
      </c>
      <c r="D544" t="s">
        <v>2502</v>
      </c>
      <c r="E544" t="s">
        <v>882</v>
      </c>
      <c r="H544" t="s">
        <v>22</v>
      </c>
      <c r="I544" t="s">
        <v>2405</v>
      </c>
    </row>
    <row r="545" spans="1:9" x14ac:dyDescent="0.35">
      <c r="A545" t="s">
        <v>2504</v>
      </c>
      <c r="B545" t="str">
        <f>"9781134208715"</f>
        <v>9781134208715</v>
      </c>
      <c r="C545" t="s">
        <v>2507</v>
      </c>
      <c r="D545" t="s">
        <v>2505</v>
      </c>
      <c r="E545" t="s">
        <v>9</v>
      </c>
      <c r="H545" t="s">
        <v>147</v>
      </c>
      <c r="I545" t="s">
        <v>2506</v>
      </c>
    </row>
    <row r="546" spans="1:9" x14ac:dyDescent="0.35">
      <c r="A546" t="s">
        <v>2508</v>
      </c>
      <c r="B546" t="str">
        <f>"9781136293962"</f>
        <v>9781136293962</v>
      </c>
      <c r="C546" t="s">
        <v>2513</v>
      </c>
      <c r="D546" t="s">
        <v>2510</v>
      </c>
      <c r="E546" t="s">
        <v>9</v>
      </c>
      <c r="F546" t="s">
        <v>2509</v>
      </c>
      <c r="H546" t="s">
        <v>2511</v>
      </c>
      <c r="I546" t="s">
        <v>2512</v>
      </c>
    </row>
    <row r="547" spans="1:9" x14ac:dyDescent="0.35">
      <c r="A547" t="s">
        <v>2514</v>
      </c>
      <c r="B547" t="str">
        <f>"9789004230484"</f>
        <v>9789004230484</v>
      </c>
      <c r="C547" t="s">
        <v>2518</v>
      </c>
      <c r="D547" t="s">
        <v>2516</v>
      </c>
      <c r="E547" t="s">
        <v>901</v>
      </c>
      <c r="F547" t="s">
        <v>2515</v>
      </c>
      <c r="H547" t="s">
        <v>22</v>
      </c>
      <c r="I547" t="s">
        <v>2517</v>
      </c>
    </row>
    <row r="548" spans="1:9" x14ac:dyDescent="0.35">
      <c r="A548" t="s">
        <v>2519</v>
      </c>
      <c r="B548" t="str">
        <f>"9789027273154"</f>
        <v>9789027273154</v>
      </c>
      <c r="C548" t="s">
        <v>2522</v>
      </c>
      <c r="D548" t="s">
        <v>1340</v>
      </c>
      <c r="E548" t="s">
        <v>1330</v>
      </c>
      <c r="H548" t="s">
        <v>2520</v>
      </c>
      <c r="I548" t="s">
        <v>2521</v>
      </c>
    </row>
    <row r="549" spans="1:9" x14ac:dyDescent="0.35">
      <c r="A549" t="s">
        <v>2523</v>
      </c>
      <c r="B549" t="str">
        <f>"9781136298844"</f>
        <v>9781136298844</v>
      </c>
      <c r="C549" t="s">
        <v>2526</v>
      </c>
      <c r="D549" t="s">
        <v>2524</v>
      </c>
      <c r="E549" t="s">
        <v>9</v>
      </c>
      <c r="H549" t="s">
        <v>397</v>
      </c>
      <c r="I549" t="s">
        <v>2525</v>
      </c>
    </row>
    <row r="550" spans="1:9" x14ac:dyDescent="0.35">
      <c r="A550" t="s">
        <v>2527</v>
      </c>
      <c r="B550" t="str">
        <f>"9781136321535"</f>
        <v>9781136321535</v>
      </c>
      <c r="C550" t="s">
        <v>2531</v>
      </c>
      <c r="D550" t="s">
        <v>2529</v>
      </c>
      <c r="E550" t="s">
        <v>9</v>
      </c>
      <c r="F550" t="s">
        <v>2528</v>
      </c>
      <c r="H550" t="s">
        <v>275</v>
      </c>
      <c r="I550" t="s">
        <v>2530</v>
      </c>
    </row>
    <row r="551" spans="1:9" x14ac:dyDescent="0.35">
      <c r="A551" t="s">
        <v>2532</v>
      </c>
      <c r="B551" t="str">
        <f>"9781136321955"</f>
        <v>9781136321955</v>
      </c>
      <c r="C551" t="s">
        <v>2535</v>
      </c>
      <c r="D551" t="s">
        <v>2533</v>
      </c>
      <c r="E551" t="s">
        <v>9</v>
      </c>
      <c r="F551" t="s">
        <v>2528</v>
      </c>
      <c r="H551" t="s">
        <v>147</v>
      </c>
      <c r="I551" t="s">
        <v>2534</v>
      </c>
    </row>
    <row r="552" spans="1:9" x14ac:dyDescent="0.35">
      <c r="A552" t="s">
        <v>2536</v>
      </c>
      <c r="B552" t="str">
        <f>"9781136817755"</f>
        <v>9781136817755</v>
      </c>
      <c r="C552" t="s">
        <v>2539</v>
      </c>
      <c r="D552" t="s">
        <v>2537</v>
      </c>
      <c r="E552" t="s">
        <v>9</v>
      </c>
      <c r="F552" t="s">
        <v>1388</v>
      </c>
      <c r="H552" t="s">
        <v>406</v>
      </c>
      <c r="I552" t="s">
        <v>2538</v>
      </c>
    </row>
    <row r="553" spans="1:9" x14ac:dyDescent="0.35">
      <c r="A553" t="s">
        <v>2540</v>
      </c>
      <c r="B553" t="str">
        <f>"9780813539263"</f>
        <v>9780813539263</v>
      </c>
      <c r="C553" t="s">
        <v>2543</v>
      </c>
      <c r="D553" t="s">
        <v>2541</v>
      </c>
      <c r="E553" t="s">
        <v>366</v>
      </c>
      <c r="H553" t="s">
        <v>163</v>
      </c>
      <c r="I553" t="s">
        <v>2542</v>
      </c>
    </row>
    <row r="554" spans="1:9" x14ac:dyDescent="0.35">
      <c r="A554" t="s">
        <v>2544</v>
      </c>
      <c r="B554" t="str">
        <f>"9780739144718"</f>
        <v>9780739144718</v>
      </c>
      <c r="C554" t="s">
        <v>2547</v>
      </c>
      <c r="D554" t="s">
        <v>2545</v>
      </c>
      <c r="E554" t="s">
        <v>887</v>
      </c>
      <c r="H554" t="s">
        <v>22</v>
      </c>
      <c r="I554" t="s">
        <v>2546</v>
      </c>
    </row>
    <row r="555" spans="1:9" x14ac:dyDescent="0.35">
      <c r="A555" t="s">
        <v>2548</v>
      </c>
      <c r="B555" t="str">
        <f>"9780739166277"</f>
        <v>9780739166277</v>
      </c>
      <c r="C555" t="s">
        <v>2551</v>
      </c>
      <c r="D555" t="s">
        <v>2549</v>
      </c>
      <c r="E555" t="s">
        <v>887</v>
      </c>
      <c r="H555" t="s">
        <v>22</v>
      </c>
      <c r="I555" t="s">
        <v>2550</v>
      </c>
    </row>
    <row r="556" spans="1:9" x14ac:dyDescent="0.35">
      <c r="A556" t="s">
        <v>2552</v>
      </c>
      <c r="B556" t="str">
        <f>"9780813042947"</f>
        <v>9780813042947</v>
      </c>
      <c r="C556" t="s">
        <v>2556</v>
      </c>
      <c r="D556" t="s">
        <v>2554</v>
      </c>
      <c r="E556" t="s">
        <v>2353</v>
      </c>
      <c r="F556" t="s">
        <v>2553</v>
      </c>
      <c r="H556" t="s">
        <v>64</v>
      </c>
      <c r="I556" t="s">
        <v>2555</v>
      </c>
    </row>
    <row r="557" spans="1:9" x14ac:dyDescent="0.35">
      <c r="A557" t="s">
        <v>2557</v>
      </c>
      <c r="B557" t="str">
        <f>"9781611475630"</f>
        <v>9781611475630</v>
      </c>
      <c r="C557" t="s">
        <v>2560</v>
      </c>
      <c r="D557" t="s">
        <v>2558</v>
      </c>
      <c r="E557" t="s">
        <v>2061</v>
      </c>
      <c r="H557" t="s">
        <v>147</v>
      </c>
      <c r="I557" t="s">
        <v>2559</v>
      </c>
    </row>
    <row r="558" spans="1:9" x14ac:dyDescent="0.35">
      <c r="A558" t="s">
        <v>2561</v>
      </c>
      <c r="B558" t="str">
        <f>"9781136238390"</f>
        <v>9781136238390</v>
      </c>
      <c r="C558" t="s">
        <v>2565</v>
      </c>
      <c r="D558" t="s">
        <v>2563</v>
      </c>
      <c r="E558" t="s">
        <v>9</v>
      </c>
      <c r="F558" t="s">
        <v>2562</v>
      </c>
      <c r="H558" t="s">
        <v>22</v>
      </c>
      <c r="I558" t="s">
        <v>2564</v>
      </c>
    </row>
    <row r="559" spans="1:9" x14ac:dyDescent="0.35">
      <c r="A559" t="s">
        <v>2566</v>
      </c>
      <c r="B559" t="str">
        <f>"9781136332074"</f>
        <v>9781136332074</v>
      </c>
      <c r="C559" t="s">
        <v>2570</v>
      </c>
      <c r="D559" t="s">
        <v>2568</v>
      </c>
      <c r="E559" t="s">
        <v>9</v>
      </c>
      <c r="F559" t="s">
        <v>2567</v>
      </c>
      <c r="H559" t="s">
        <v>397</v>
      </c>
      <c r="I559" t="s">
        <v>2569</v>
      </c>
    </row>
    <row r="560" spans="1:9" x14ac:dyDescent="0.35">
      <c r="A560" t="s">
        <v>2571</v>
      </c>
      <c r="B560" t="str">
        <f>"9780804784016"</f>
        <v>9780804784016</v>
      </c>
      <c r="C560" t="s">
        <v>2575</v>
      </c>
      <c r="D560" t="s">
        <v>2573</v>
      </c>
      <c r="E560" t="s">
        <v>1186</v>
      </c>
      <c r="F560" t="s">
        <v>2572</v>
      </c>
      <c r="H560" t="s">
        <v>147</v>
      </c>
      <c r="I560" t="s">
        <v>2574</v>
      </c>
    </row>
    <row r="561" spans="1:9" x14ac:dyDescent="0.35">
      <c r="A561" t="s">
        <v>2576</v>
      </c>
      <c r="B561" t="str">
        <f>"9781118294260"</f>
        <v>9781118294260</v>
      </c>
      <c r="C561" t="s">
        <v>2580</v>
      </c>
      <c r="D561" t="s">
        <v>2578</v>
      </c>
      <c r="E561" t="s">
        <v>444</v>
      </c>
      <c r="F561" t="s">
        <v>2577</v>
      </c>
      <c r="H561" t="s">
        <v>38</v>
      </c>
      <c r="I561" t="s">
        <v>2579</v>
      </c>
    </row>
    <row r="562" spans="1:9" x14ac:dyDescent="0.35">
      <c r="A562" t="s">
        <v>2581</v>
      </c>
      <c r="B562" t="str">
        <f>"9781136339073"</f>
        <v>9781136339073</v>
      </c>
      <c r="C562" t="s">
        <v>2586</v>
      </c>
      <c r="D562" t="s">
        <v>2583</v>
      </c>
      <c r="E562" t="s">
        <v>9</v>
      </c>
      <c r="F562" t="s">
        <v>2582</v>
      </c>
      <c r="H562" t="s">
        <v>2584</v>
      </c>
      <c r="I562" t="s">
        <v>2585</v>
      </c>
    </row>
    <row r="563" spans="1:9" x14ac:dyDescent="0.35">
      <c r="A563" t="s">
        <v>2587</v>
      </c>
      <c r="B563" t="str">
        <f>"9781780322872"</f>
        <v>9781780322872</v>
      </c>
      <c r="C563" t="s">
        <v>2590</v>
      </c>
      <c r="D563" t="s">
        <v>2588</v>
      </c>
      <c r="E563" t="s">
        <v>493</v>
      </c>
      <c r="H563" t="s">
        <v>22</v>
      </c>
      <c r="I563" t="s">
        <v>2589</v>
      </c>
    </row>
    <row r="564" spans="1:9" x14ac:dyDescent="0.35">
      <c r="A564" t="s">
        <v>2591</v>
      </c>
      <c r="B564" t="str">
        <f>"9781461633426"</f>
        <v>9781461633426</v>
      </c>
      <c r="C564" t="s">
        <v>2594</v>
      </c>
      <c r="D564" t="s">
        <v>2592</v>
      </c>
      <c r="E564" t="s">
        <v>887</v>
      </c>
      <c r="H564" t="s">
        <v>86</v>
      </c>
      <c r="I564" t="s">
        <v>2593</v>
      </c>
    </row>
    <row r="565" spans="1:9" x14ac:dyDescent="0.35">
      <c r="A565" t="s">
        <v>2595</v>
      </c>
      <c r="B565" t="str">
        <f>"9781442218369"</f>
        <v>9781442218369</v>
      </c>
      <c r="C565" t="s">
        <v>2598</v>
      </c>
      <c r="D565" t="s">
        <v>2596</v>
      </c>
      <c r="E565" t="s">
        <v>882</v>
      </c>
      <c r="H565" t="s">
        <v>38</v>
      </c>
      <c r="I565" t="s">
        <v>2597</v>
      </c>
    </row>
    <row r="566" spans="1:9" x14ac:dyDescent="0.35">
      <c r="A566" t="s">
        <v>2599</v>
      </c>
      <c r="B566" t="str">
        <f>"9781136914874"</f>
        <v>9781136914874</v>
      </c>
      <c r="C566" t="s">
        <v>2602</v>
      </c>
      <c r="D566" t="s">
        <v>2600</v>
      </c>
      <c r="E566" t="s">
        <v>9</v>
      </c>
      <c r="H566" t="s">
        <v>22</v>
      </c>
      <c r="I566" t="s">
        <v>2601</v>
      </c>
    </row>
    <row r="567" spans="1:9" x14ac:dyDescent="0.35">
      <c r="A567" t="s">
        <v>2603</v>
      </c>
      <c r="B567" t="str">
        <f>"9781136593802"</f>
        <v>9781136593802</v>
      </c>
      <c r="C567" t="s">
        <v>2607</v>
      </c>
      <c r="D567" t="s">
        <v>2605</v>
      </c>
      <c r="E567" t="s">
        <v>9</v>
      </c>
      <c r="F567" t="s">
        <v>2604</v>
      </c>
      <c r="H567" t="s">
        <v>22</v>
      </c>
      <c r="I567" t="s">
        <v>2606</v>
      </c>
    </row>
    <row r="568" spans="1:9" x14ac:dyDescent="0.35">
      <c r="A568" t="s">
        <v>2608</v>
      </c>
      <c r="B568" t="str">
        <f>"9781136247064"</f>
        <v>9781136247064</v>
      </c>
      <c r="C568" t="s">
        <v>2611</v>
      </c>
      <c r="D568" t="s">
        <v>2609</v>
      </c>
      <c r="E568" t="s">
        <v>9</v>
      </c>
      <c r="F568" t="s">
        <v>1408</v>
      </c>
      <c r="H568" t="s">
        <v>22</v>
      </c>
      <c r="I568" t="s">
        <v>2610</v>
      </c>
    </row>
    <row r="569" spans="1:9" x14ac:dyDescent="0.35">
      <c r="A569" t="s">
        <v>2612</v>
      </c>
      <c r="B569" t="str">
        <f>"9781136237805"</f>
        <v>9781136237805</v>
      </c>
      <c r="C569" t="s">
        <v>2616</v>
      </c>
      <c r="D569" t="s">
        <v>2614</v>
      </c>
      <c r="E569" t="s">
        <v>9</v>
      </c>
      <c r="F569" t="s">
        <v>2613</v>
      </c>
      <c r="H569" t="s">
        <v>86</v>
      </c>
      <c r="I569" t="s">
        <v>2615</v>
      </c>
    </row>
    <row r="570" spans="1:9" x14ac:dyDescent="0.35">
      <c r="A570" t="s">
        <v>2617</v>
      </c>
      <c r="B570" t="str">
        <f>"9781136975004"</f>
        <v>9781136975004</v>
      </c>
      <c r="C570" t="s">
        <v>2620</v>
      </c>
      <c r="D570" t="s">
        <v>2618</v>
      </c>
      <c r="E570" t="s">
        <v>9</v>
      </c>
      <c r="H570" t="s">
        <v>22</v>
      </c>
      <c r="I570" t="s">
        <v>2619</v>
      </c>
    </row>
    <row r="571" spans="1:9" x14ac:dyDescent="0.35">
      <c r="A571" t="s">
        <v>2621</v>
      </c>
      <c r="B571" t="str">
        <f>"9780816681570"</f>
        <v>9780816681570</v>
      </c>
      <c r="C571" t="s">
        <v>2624</v>
      </c>
      <c r="D571" t="s">
        <v>2622</v>
      </c>
      <c r="E571" t="s">
        <v>305</v>
      </c>
      <c r="H571" t="s">
        <v>147</v>
      </c>
      <c r="I571" t="s">
        <v>2623</v>
      </c>
    </row>
    <row r="572" spans="1:9" x14ac:dyDescent="0.35">
      <c r="A572" t="s">
        <v>2625</v>
      </c>
      <c r="B572" t="str">
        <f>"9780816681822"</f>
        <v>9780816681822</v>
      </c>
      <c r="C572" t="s">
        <v>2629</v>
      </c>
      <c r="D572" t="s">
        <v>2627</v>
      </c>
      <c r="E572" t="s">
        <v>305</v>
      </c>
      <c r="F572" t="s">
        <v>2626</v>
      </c>
      <c r="H572" t="s">
        <v>11</v>
      </c>
      <c r="I572" t="s">
        <v>2628</v>
      </c>
    </row>
    <row r="573" spans="1:9" x14ac:dyDescent="0.35">
      <c r="A573" t="s">
        <v>2630</v>
      </c>
      <c r="B573" t="str">
        <f>"9781593326296"</f>
        <v>9781593326296</v>
      </c>
      <c r="C573" t="s">
        <v>2634</v>
      </c>
      <c r="D573" t="s">
        <v>2632</v>
      </c>
      <c r="E573" t="s">
        <v>2014</v>
      </c>
      <c r="F573" t="s">
        <v>2631</v>
      </c>
      <c r="H573" t="s">
        <v>22</v>
      </c>
      <c r="I573" t="s">
        <v>2633</v>
      </c>
    </row>
    <row r="574" spans="1:9" x14ac:dyDescent="0.35">
      <c r="A574" t="s">
        <v>2635</v>
      </c>
      <c r="B574" t="str">
        <f>"9781593326739"</f>
        <v>9781593326739</v>
      </c>
      <c r="C574" t="s">
        <v>2638</v>
      </c>
      <c r="D574" t="s">
        <v>2636</v>
      </c>
      <c r="E574" t="s">
        <v>2014</v>
      </c>
      <c r="F574" t="s">
        <v>2631</v>
      </c>
      <c r="H574" t="s">
        <v>22</v>
      </c>
      <c r="I574" t="s">
        <v>2637</v>
      </c>
    </row>
    <row r="575" spans="1:9" x14ac:dyDescent="0.35">
      <c r="A575" t="s">
        <v>2639</v>
      </c>
      <c r="B575" t="str">
        <f>"9781593326784"</f>
        <v>9781593326784</v>
      </c>
      <c r="C575" t="s">
        <v>2642</v>
      </c>
      <c r="D575" t="s">
        <v>2640</v>
      </c>
      <c r="E575" t="s">
        <v>2014</v>
      </c>
      <c r="F575" t="s">
        <v>2631</v>
      </c>
      <c r="H575" t="s">
        <v>22</v>
      </c>
      <c r="I575" t="s">
        <v>2641</v>
      </c>
    </row>
    <row r="576" spans="1:9" x14ac:dyDescent="0.35">
      <c r="A576" t="s">
        <v>2643</v>
      </c>
      <c r="B576" t="str">
        <f>"9781409437031"</f>
        <v>9781409437031</v>
      </c>
      <c r="C576" t="s">
        <v>2647</v>
      </c>
      <c r="D576" t="s">
        <v>2645</v>
      </c>
      <c r="E576" t="s">
        <v>9</v>
      </c>
      <c r="F576" t="s">
        <v>2644</v>
      </c>
      <c r="H576" t="s">
        <v>86</v>
      </c>
      <c r="I576" t="s">
        <v>2646</v>
      </c>
    </row>
    <row r="577" spans="1:9" x14ac:dyDescent="0.35">
      <c r="A577" t="s">
        <v>2648</v>
      </c>
      <c r="B577" t="str">
        <f>"9781847793812"</f>
        <v>9781847793812</v>
      </c>
      <c r="C577" t="s">
        <v>2651</v>
      </c>
      <c r="D577" t="s">
        <v>469</v>
      </c>
      <c r="E577" t="s">
        <v>2649</v>
      </c>
      <c r="H577" t="s">
        <v>1014</v>
      </c>
      <c r="I577" t="s">
        <v>2650</v>
      </c>
    </row>
    <row r="578" spans="1:9" x14ac:dyDescent="0.35">
      <c r="A578" t="s">
        <v>2652</v>
      </c>
      <c r="B578" t="str">
        <f>"9781847791481"</f>
        <v>9781847791481</v>
      </c>
      <c r="C578" t="s">
        <v>2656</v>
      </c>
      <c r="D578" t="s">
        <v>2654</v>
      </c>
      <c r="E578" t="s">
        <v>2649</v>
      </c>
      <c r="F578" t="s">
        <v>2653</v>
      </c>
      <c r="H578" t="s">
        <v>2221</v>
      </c>
      <c r="I578" t="s">
        <v>2655</v>
      </c>
    </row>
    <row r="579" spans="1:9" x14ac:dyDescent="0.35">
      <c r="A579" t="s">
        <v>2657</v>
      </c>
      <c r="B579" t="str">
        <f>"9781847793393"</f>
        <v>9781847793393</v>
      </c>
      <c r="C579" t="s">
        <v>2660</v>
      </c>
      <c r="D579" t="s">
        <v>2658</v>
      </c>
      <c r="E579" t="s">
        <v>2649</v>
      </c>
      <c r="F579" t="s">
        <v>2653</v>
      </c>
      <c r="H579" t="s">
        <v>147</v>
      </c>
      <c r="I579" t="s">
        <v>2659</v>
      </c>
    </row>
    <row r="580" spans="1:9" x14ac:dyDescent="0.35">
      <c r="A580" t="s">
        <v>2661</v>
      </c>
      <c r="B580" t="str">
        <f>"9781847792037"</f>
        <v>9781847792037</v>
      </c>
      <c r="C580" t="s">
        <v>2664</v>
      </c>
      <c r="D580" t="s">
        <v>2662</v>
      </c>
      <c r="E580" t="s">
        <v>2649</v>
      </c>
      <c r="H580" t="s">
        <v>75</v>
      </c>
      <c r="I580" t="s">
        <v>2663</v>
      </c>
    </row>
    <row r="581" spans="1:9" x14ac:dyDescent="0.35">
      <c r="A581" t="s">
        <v>2665</v>
      </c>
      <c r="B581" t="str">
        <f>"9781847792334"</f>
        <v>9781847792334</v>
      </c>
      <c r="C581" t="s">
        <v>2669</v>
      </c>
      <c r="D581" t="s">
        <v>2667</v>
      </c>
      <c r="E581" t="s">
        <v>2649</v>
      </c>
      <c r="F581" t="s">
        <v>2666</v>
      </c>
      <c r="H581" t="s">
        <v>1162</v>
      </c>
      <c r="I581" t="s">
        <v>2668</v>
      </c>
    </row>
    <row r="582" spans="1:9" x14ac:dyDescent="0.35">
      <c r="A582" t="s">
        <v>2670</v>
      </c>
      <c r="B582" t="str">
        <f>"9781847791443"</f>
        <v>9781847791443</v>
      </c>
      <c r="C582" t="s">
        <v>2673</v>
      </c>
      <c r="D582" t="s">
        <v>2671</v>
      </c>
      <c r="E582" t="s">
        <v>2649</v>
      </c>
      <c r="H582" t="s">
        <v>22</v>
      </c>
      <c r="I582" t="s">
        <v>2672</v>
      </c>
    </row>
    <row r="583" spans="1:9" x14ac:dyDescent="0.35">
      <c r="A583" t="s">
        <v>2674</v>
      </c>
      <c r="B583" t="str">
        <f>"9781847791573"</f>
        <v>9781847791573</v>
      </c>
      <c r="C583" t="s">
        <v>2677</v>
      </c>
      <c r="D583" t="s">
        <v>2675</v>
      </c>
      <c r="E583" t="s">
        <v>2649</v>
      </c>
      <c r="H583" t="s">
        <v>22</v>
      </c>
      <c r="I583" t="s">
        <v>2676</v>
      </c>
    </row>
    <row r="584" spans="1:9" x14ac:dyDescent="0.35">
      <c r="A584" t="s">
        <v>2678</v>
      </c>
      <c r="B584" t="str">
        <f>"9781847791795"</f>
        <v>9781847791795</v>
      </c>
      <c r="C584" t="s">
        <v>2681</v>
      </c>
      <c r="D584" t="s">
        <v>2679</v>
      </c>
      <c r="E584" t="s">
        <v>2649</v>
      </c>
      <c r="H584" t="s">
        <v>147</v>
      </c>
      <c r="I584" t="s">
        <v>2680</v>
      </c>
    </row>
    <row r="585" spans="1:9" x14ac:dyDescent="0.35">
      <c r="A585" t="s">
        <v>2682</v>
      </c>
      <c r="B585" t="str">
        <f>"9781847791412"</f>
        <v>9781847791412</v>
      </c>
      <c r="C585" t="s">
        <v>2686</v>
      </c>
      <c r="D585" t="s">
        <v>2684</v>
      </c>
      <c r="E585" t="s">
        <v>2649</v>
      </c>
      <c r="F585" t="s">
        <v>2683</v>
      </c>
      <c r="H585" t="s">
        <v>22</v>
      </c>
      <c r="I585" t="s">
        <v>2685</v>
      </c>
    </row>
    <row r="586" spans="1:9" x14ac:dyDescent="0.35">
      <c r="A586" t="s">
        <v>2687</v>
      </c>
      <c r="B586" t="str">
        <f>"9781847791399"</f>
        <v>9781847791399</v>
      </c>
      <c r="C586" t="s">
        <v>2690</v>
      </c>
      <c r="D586" t="s">
        <v>2688</v>
      </c>
      <c r="E586" t="s">
        <v>2649</v>
      </c>
      <c r="F586" t="s">
        <v>2683</v>
      </c>
      <c r="H586" t="s">
        <v>163</v>
      </c>
      <c r="I586" t="s">
        <v>2689</v>
      </c>
    </row>
    <row r="587" spans="1:9" x14ac:dyDescent="0.35">
      <c r="A587" t="s">
        <v>2691</v>
      </c>
      <c r="B587" t="str">
        <f>"9781847792631"</f>
        <v>9781847792631</v>
      </c>
      <c r="C587" t="s">
        <v>2694</v>
      </c>
      <c r="D587" t="s">
        <v>2692</v>
      </c>
      <c r="E587" t="s">
        <v>2649</v>
      </c>
      <c r="F587" t="s">
        <v>2683</v>
      </c>
      <c r="H587" t="s">
        <v>2511</v>
      </c>
      <c r="I587" t="s">
        <v>2693</v>
      </c>
    </row>
    <row r="588" spans="1:9" x14ac:dyDescent="0.35">
      <c r="A588" t="s">
        <v>2695</v>
      </c>
      <c r="B588" t="str">
        <f>"9781847794291"</f>
        <v>9781847794291</v>
      </c>
      <c r="C588" t="s">
        <v>2698</v>
      </c>
      <c r="D588" t="s">
        <v>2696</v>
      </c>
      <c r="E588" t="s">
        <v>2649</v>
      </c>
      <c r="H588" t="s">
        <v>1111</v>
      </c>
      <c r="I588" t="s">
        <v>2697</v>
      </c>
    </row>
    <row r="589" spans="1:9" x14ac:dyDescent="0.35">
      <c r="A589" t="s">
        <v>2699</v>
      </c>
      <c r="B589" t="str">
        <f>"9781847794444"</f>
        <v>9781847794444</v>
      </c>
      <c r="C589" t="s">
        <v>2702</v>
      </c>
      <c r="D589" t="s">
        <v>2700</v>
      </c>
      <c r="E589" t="s">
        <v>2649</v>
      </c>
      <c r="H589" t="s">
        <v>58</v>
      </c>
      <c r="I589" t="s">
        <v>2701</v>
      </c>
    </row>
    <row r="590" spans="1:9" x14ac:dyDescent="0.35">
      <c r="A590" t="s">
        <v>2703</v>
      </c>
      <c r="B590" t="str">
        <f>"9781847793461"</f>
        <v>9781847793461</v>
      </c>
      <c r="C590" t="s">
        <v>2706</v>
      </c>
      <c r="D590" t="s">
        <v>2704</v>
      </c>
      <c r="E590" t="s">
        <v>2649</v>
      </c>
      <c r="F590" t="s">
        <v>2683</v>
      </c>
      <c r="H590" t="s">
        <v>22</v>
      </c>
      <c r="I590" t="s">
        <v>2705</v>
      </c>
    </row>
    <row r="591" spans="1:9" x14ac:dyDescent="0.35">
      <c r="A591" t="s">
        <v>2707</v>
      </c>
      <c r="B591" t="str">
        <f>"9781136199196"</f>
        <v>9781136199196</v>
      </c>
      <c r="C591" t="s">
        <v>2711</v>
      </c>
      <c r="D591" t="s">
        <v>2708</v>
      </c>
      <c r="E591" t="s">
        <v>9</v>
      </c>
      <c r="H591" t="s">
        <v>2709</v>
      </c>
      <c r="I591" t="s">
        <v>2710</v>
      </c>
    </row>
    <row r="592" spans="1:9" x14ac:dyDescent="0.35">
      <c r="A592" t="s">
        <v>2712</v>
      </c>
      <c r="B592" t="str">
        <f>"9781136177804"</f>
        <v>9781136177804</v>
      </c>
      <c r="C592" t="s">
        <v>2715</v>
      </c>
      <c r="D592" t="s">
        <v>2713</v>
      </c>
      <c r="E592" t="s">
        <v>9</v>
      </c>
      <c r="H592" t="s">
        <v>1858</v>
      </c>
      <c r="I592" t="s">
        <v>2714</v>
      </c>
    </row>
    <row r="593" spans="1:9" x14ac:dyDescent="0.35">
      <c r="A593" t="s">
        <v>2716</v>
      </c>
      <c r="B593" t="str">
        <f>"9780807837559"</f>
        <v>9780807837559</v>
      </c>
      <c r="C593" t="s">
        <v>2719</v>
      </c>
      <c r="D593" t="s">
        <v>2717</v>
      </c>
      <c r="E593" t="s">
        <v>558</v>
      </c>
      <c r="H593" t="s">
        <v>636</v>
      </c>
      <c r="I593" t="s">
        <v>2718</v>
      </c>
    </row>
    <row r="594" spans="1:9" x14ac:dyDescent="0.35">
      <c r="A594" t="s">
        <v>2720</v>
      </c>
      <c r="B594" t="str">
        <f>"9780226922294"</f>
        <v>9780226922294</v>
      </c>
      <c r="C594" t="s">
        <v>2723</v>
      </c>
      <c r="D594" t="s">
        <v>2721</v>
      </c>
      <c r="E594" t="s">
        <v>535</v>
      </c>
      <c r="H594" t="s">
        <v>138</v>
      </c>
      <c r="I594" t="s">
        <v>2722</v>
      </c>
    </row>
    <row r="595" spans="1:9" x14ac:dyDescent="0.35">
      <c r="A595" t="s">
        <v>2724</v>
      </c>
      <c r="B595" t="str">
        <f>"9781782410454"</f>
        <v>9781782410454</v>
      </c>
      <c r="C595" t="s">
        <v>2727</v>
      </c>
      <c r="D595" t="s">
        <v>2725</v>
      </c>
      <c r="E595" t="s">
        <v>9</v>
      </c>
      <c r="H595" t="s">
        <v>58</v>
      </c>
      <c r="I595" t="s">
        <v>2726</v>
      </c>
    </row>
    <row r="596" spans="1:9" x14ac:dyDescent="0.35">
      <c r="A596" t="s">
        <v>2728</v>
      </c>
      <c r="B596" t="str">
        <f>"9781443830218"</f>
        <v>9781443830218</v>
      </c>
      <c r="C596" t="s">
        <v>2732</v>
      </c>
      <c r="D596" t="s">
        <v>2730</v>
      </c>
      <c r="E596" t="s">
        <v>2729</v>
      </c>
      <c r="H596" t="s">
        <v>86</v>
      </c>
      <c r="I596" t="s">
        <v>2731</v>
      </c>
    </row>
    <row r="597" spans="1:9" x14ac:dyDescent="0.35">
      <c r="A597" t="s">
        <v>2733</v>
      </c>
      <c r="B597" t="str">
        <f>"9789004241923"</f>
        <v>9789004241923</v>
      </c>
      <c r="C597" t="s">
        <v>2737</v>
      </c>
      <c r="D597" t="s">
        <v>2735</v>
      </c>
      <c r="E597" t="s">
        <v>901</v>
      </c>
      <c r="F597" t="s">
        <v>2734</v>
      </c>
      <c r="H597" t="s">
        <v>86</v>
      </c>
      <c r="I597" t="s">
        <v>2736</v>
      </c>
    </row>
    <row r="598" spans="1:9" x14ac:dyDescent="0.35">
      <c r="A598" t="s">
        <v>2738</v>
      </c>
      <c r="B598" t="str">
        <f>"9780804779722"</f>
        <v>9780804779722</v>
      </c>
      <c r="C598" t="s">
        <v>2742</v>
      </c>
      <c r="D598" t="s">
        <v>2739</v>
      </c>
      <c r="E598" t="s">
        <v>1186</v>
      </c>
      <c r="H598" t="s">
        <v>2740</v>
      </c>
      <c r="I598" t="s">
        <v>2741</v>
      </c>
    </row>
    <row r="599" spans="1:9" x14ac:dyDescent="0.35">
      <c r="A599" t="s">
        <v>2743</v>
      </c>
      <c r="B599" t="str">
        <f>"9781584658382"</f>
        <v>9781584658382</v>
      </c>
      <c r="C599" t="s">
        <v>2747</v>
      </c>
      <c r="D599" t="s">
        <v>2745</v>
      </c>
      <c r="E599" t="s">
        <v>2744</v>
      </c>
      <c r="H599" t="s">
        <v>22</v>
      </c>
      <c r="I599" t="s">
        <v>2746</v>
      </c>
    </row>
    <row r="600" spans="1:9" x14ac:dyDescent="0.35">
      <c r="A600" t="s">
        <v>2748</v>
      </c>
      <c r="B600" t="str">
        <f>"9781584658276"</f>
        <v>9781584658276</v>
      </c>
      <c r="C600" t="s">
        <v>2753</v>
      </c>
      <c r="D600" t="s">
        <v>2751</v>
      </c>
      <c r="E600" t="s">
        <v>2749</v>
      </c>
      <c r="F600" t="s">
        <v>2750</v>
      </c>
      <c r="H600" t="s">
        <v>22</v>
      </c>
      <c r="I600" t="s">
        <v>2752</v>
      </c>
    </row>
    <row r="601" spans="1:9" x14ac:dyDescent="0.35">
      <c r="A601" t="s">
        <v>2754</v>
      </c>
      <c r="B601" t="str">
        <f>"9781584659440"</f>
        <v>9781584659440</v>
      </c>
      <c r="C601" t="s">
        <v>2759</v>
      </c>
      <c r="D601" t="s">
        <v>2757</v>
      </c>
      <c r="E601" t="s">
        <v>2755</v>
      </c>
      <c r="F601" t="s">
        <v>2756</v>
      </c>
      <c r="H601" t="s">
        <v>38</v>
      </c>
      <c r="I601" t="s">
        <v>2758</v>
      </c>
    </row>
    <row r="602" spans="1:9" x14ac:dyDescent="0.35">
      <c r="A602" t="s">
        <v>2760</v>
      </c>
      <c r="B602" t="str">
        <f>"9781555537418"</f>
        <v>9781555537418</v>
      </c>
      <c r="C602" t="s">
        <v>2765</v>
      </c>
      <c r="D602" t="s">
        <v>2763</v>
      </c>
      <c r="E602" t="s">
        <v>2761</v>
      </c>
      <c r="F602" t="s">
        <v>2762</v>
      </c>
      <c r="H602" t="s">
        <v>22</v>
      </c>
      <c r="I602" t="s">
        <v>2764</v>
      </c>
    </row>
    <row r="603" spans="1:9" x14ac:dyDescent="0.35">
      <c r="A603" t="s">
        <v>2766</v>
      </c>
      <c r="B603" t="str">
        <f>"9781555537562"</f>
        <v>9781555537562</v>
      </c>
      <c r="C603" t="s">
        <v>2770</v>
      </c>
      <c r="D603" t="s">
        <v>2767</v>
      </c>
      <c r="E603" t="s">
        <v>2761</v>
      </c>
      <c r="F603" t="s">
        <v>2762</v>
      </c>
      <c r="H603" t="s">
        <v>2768</v>
      </c>
      <c r="I603" t="s">
        <v>2769</v>
      </c>
    </row>
    <row r="604" spans="1:9" x14ac:dyDescent="0.35">
      <c r="A604" t="s">
        <v>2771</v>
      </c>
      <c r="B604" t="str">
        <f>"9789401200363"</f>
        <v>9789401200363</v>
      </c>
      <c r="C604" t="s">
        <v>2776</v>
      </c>
      <c r="D604" t="s">
        <v>2773</v>
      </c>
      <c r="E604" t="s">
        <v>901</v>
      </c>
      <c r="F604" t="s">
        <v>2772</v>
      </c>
      <c r="H604" t="s">
        <v>2774</v>
      </c>
      <c r="I604" t="s">
        <v>2775</v>
      </c>
    </row>
    <row r="605" spans="1:9" x14ac:dyDescent="0.35">
      <c r="A605" t="s">
        <v>2777</v>
      </c>
      <c r="B605" t="str">
        <f>"9781136177163"</f>
        <v>9781136177163</v>
      </c>
      <c r="C605" t="s">
        <v>2781</v>
      </c>
      <c r="D605" t="s">
        <v>2779</v>
      </c>
      <c r="E605" t="s">
        <v>9</v>
      </c>
      <c r="F605" t="s">
        <v>2778</v>
      </c>
      <c r="H605" t="s">
        <v>147</v>
      </c>
      <c r="I605" t="s">
        <v>2780</v>
      </c>
    </row>
    <row r="606" spans="1:9" x14ac:dyDescent="0.35">
      <c r="A606" t="s">
        <v>2782</v>
      </c>
      <c r="B606" t="str">
        <f>"9781136204579"</f>
        <v>9781136204579</v>
      </c>
      <c r="C606" t="s">
        <v>2786</v>
      </c>
      <c r="D606" t="s">
        <v>2784</v>
      </c>
      <c r="E606" t="s">
        <v>9</v>
      </c>
      <c r="F606" t="s">
        <v>2783</v>
      </c>
      <c r="H606" t="s">
        <v>22</v>
      </c>
      <c r="I606" t="s">
        <v>2785</v>
      </c>
    </row>
    <row r="607" spans="1:9" x14ac:dyDescent="0.35">
      <c r="A607" t="s">
        <v>2787</v>
      </c>
      <c r="B607" t="str">
        <f>"9781136204715"</f>
        <v>9781136204715</v>
      </c>
      <c r="C607" t="s">
        <v>2792</v>
      </c>
      <c r="D607" t="s">
        <v>2789</v>
      </c>
      <c r="E607" t="s">
        <v>9</v>
      </c>
      <c r="F607" t="s">
        <v>2788</v>
      </c>
      <c r="H607" t="s">
        <v>2790</v>
      </c>
      <c r="I607" t="s">
        <v>2791</v>
      </c>
    </row>
    <row r="608" spans="1:9" x14ac:dyDescent="0.35">
      <c r="A608" t="s">
        <v>2793</v>
      </c>
      <c r="B608" t="str">
        <f>"9781136227660"</f>
        <v>9781136227660</v>
      </c>
      <c r="C608" t="s">
        <v>2797</v>
      </c>
      <c r="D608" t="s">
        <v>2795</v>
      </c>
      <c r="E608" t="s">
        <v>9</v>
      </c>
      <c r="F608" t="s">
        <v>2794</v>
      </c>
      <c r="H608" t="s">
        <v>170</v>
      </c>
      <c r="I608" t="s">
        <v>2796</v>
      </c>
    </row>
    <row r="609" spans="1:9" x14ac:dyDescent="0.35">
      <c r="A609" t="s">
        <v>2798</v>
      </c>
      <c r="B609" t="str">
        <f>"9781136235054"</f>
        <v>9781136235054</v>
      </c>
      <c r="C609" t="s">
        <v>2801</v>
      </c>
      <c r="D609" t="s">
        <v>2799</v>
      </c>
      <c r="E609" t="s">
        <v>9</v>
      </c>
      <c r="H609" t="s">
        <v>22</v>
      </c>
      <c r="I609" t="s">
        <v>2800</v>
      </c>
    </row>
    <row r="610" spans="1:9" x14ac:dyDescent="0.35">
      <c r="A610" t="s">
        <v>2802</v>
      </c>
      <c r="B610" t="str">
        <f>"9781936374915"</f>
        <v>9781936374915</v>
      </c>
      <c r="C610" t="s">
        <v>2806</v>
      </c>
      <c r="D610" t="s">
        <v>2804</v>
      </c>
      <c r="E610" t="s">
        <v>2803</v>
      </c>
      <c r="H610" t="s">
        <v>22</v>
      </c>
      <c r="I610" t="s">
        <v>2805</v>
      </c>
    </row>
    <row r="611" spans="1:9" x14ac:dyDescent="0.35">
      <c r="A611" t="s">
        <v>2807</v>
      </c>
      <c r="B611" t="str">
        <f>"9781136169700"</f>
        <v>9781136169700</v>
      </c>
      <c r="C611" t="s">
        <v>2811</v>
      </c>
      <c r="D611" t="s">
        <v>2809</v>
      </c>
      <c r="E611" t="s">
        <v>9</v>
      </c>
      <c r="F611" t="s">
        <v>2808</v>
      </c>
      <c r="H611" t="s">
        <v>147</v>
      </c>
      <c r="I611" t="s">
        <v>2810</v>
      </c>
    </row>
    <row r="612" spans="1:9" x14ac:dyDescent="0.35">
      <c r="A612" t="s">
        <v>2812</v>
      </c>
      <c r="B612" t="str">
        <f>"9781136197369"</f>
        <v>9781136197369</v>
      </c>
      <c r="C612" t="s">
        <v>2815</v>
      </c>
      <c r="D612" t="s">
        <v>2813</v>
      </c>
      <c r="E612" t="s">
        <v>9</v>
      </c>
      <c r="H612" t="s">
        <v>22</v>
      </c>
      <c r="I612" t="s">
        <v>2814</v>
      </c>
    </row>
    <row r="613" spans="1:9" x14ac:dyDescent="0.35">
      <c r="A613" t="s">
        <v>2816</v>
      </c>
      <c r="B613" t="str">
        <f>"9781135833121"</f>
        <v>9781135833121</v>
      </c>
      <c r="C613" t="s">
        <v>2819</v>
      </c>
      <c r="D613" t="s">
        <v>2817</v>
      </c>
      <c r="E613" t="s">
        <v>9</v>
      </c>
      <c r="H613" t="s">
        <v>866</v>
      </c>
      <c r="I613" t="s">
        <v>2818</v>
      </c>
    </row>
    <row r="614" spans="1:9" x14ac:dyDescent="0.35">
      <c r="A614" t="s">
        <v>2820</v>
      </c>
      <c r="B614" t="str">
        <f>"9781136836862"</f>
        <v>9781136836862</v>
      </c>
      <c r="C614" t="s">
        <v>2824</v>
      </c>
      <c r="D614" t="s">
        <v>2822</v>
      </c>
      <c r="E614" t="s">
        <v>9</v>
      </c>
      <c r="F614" t="s">
        <v>2821</v>
      </c>
      <c r="H614" t="s">
        <v>22</v>
      </c>
      <c r="I614" t="s">
        <v>2823</v>
      </c>
    </row>
    <row r="615" spans="1:9" x14ac:dyDescent="0.35">
      <c r="A615" t="s">
        <v>2825</v>
      </c>
      <c r="B615" t="str">
        <f>"9781136159923"</f>
        <v>9781136159923</v>
      </c>
      <c r="C615" t="s">
        <v>2828</v>
      </c>
      <c r="D615" t="s">
        <v>2826</v>
      </c>
      <c r="E615" t="s">
        <v>9</v>
      </c>
      <c r="H615" t="s">
        <v>22</v>
      </c>
      <c r="I615" t="s">
        <v>2827</v>
      </c>
    </row>
    <row r="616" spans="1:9" x14ac:dyDescent="0.35">
      <c r="A616" t="s">
        <v>2829</v>
      </c>
      <c r="B616" t="str">
        <f>"9780826329066"</f>
        <v>9780826329066</v>
      </c>
      <c r="C616" t="s">
        <v>2834</v>
      </c>
      <c r="D616" t="s">
        <v>2832</v>
      </c>
      <c r="E616" t="s">
        <v>2830</v>
      </c>
      <c r="F616" t="s">
        <v>2831</v>
      </c>
      <c r="H616" t="s">
        <v>1414</v>
      </c>
      <c r="I616" t="s">
        <v>2833</v>
      </c>
    </row>
    <row r="617" spans="1:9" x14ac:dyDescent="0.35">
      <c r="A617" t="s">
        <v>2835</v>
      </c>
      <c r="B617" t="str">
        <f>"9781136225895"</f>
        <v>9781136225895</v>
      </c>
      <c r="C617" t="s">
        <v>2838</v>
      </c>
      <c r="D617" t="s">
        <v>2836</v>
      </c>
      <c r="E617" t="s">
        <v>9</v>
      </c>
      <c r="H617" t="s">
        <v>397</v>
      </c>
      <c r="I617" t="s">
        <v>2837</v>
      </c>
    </row>
    <row r="618" spans="1:9" x14ac:dyDescent="0.35">
      <c r="A618" t="s">
        <v>2839</v>
      </c>
      <c r="B618" t="str">
        <f>"9780826346124"</f>
        <v>9780826346124</v>
      </c>
      <c r="C618" t="s">
        <v>2842</v>
      </c>
      <c r="D618" t="s">
        <v>2840</v>
      </c>
      <c r="E618" t="s">
        <v>2830</v>
      </c>
      <c r="H618" t="s">
        <v>22</v>
      </c>
      <c r="I618" t="s">
        <v>2841</v>
      </c>
    </row>
    <row r="619" spans="1:9" x14ac:dyDescent="0.35">
      <c r="A619" t="s">
        <v>2843</v>
      </c>
      <c r="B619" t="str">
        <f>"9781443831185"</f>
        <v>9781443831185</v>
      </c>
      <c r="C619" t="s">
        <v>2846</v>
      </c>
      <c r="D619" t="s">
        <v>2844</v>
      </c>
      <c r="E619" t="s">
        <v>2729</v>
      </c>
      <c r="H619" t="s">
        <v>86</v>
      </c>
      <c r="I619" t="s">
        <v>2845</v>
      </c>
    </row>
    <row r="620" spans="1:9" x14ac:dyDescent="0.35">
      <c r="A620" t="s">
        <v>2847</v>
      </c>
      <c r="B620" t="str">
        <f>"9780199875436"</f>
        <v>9780199875436</v>
      </c>
      <c r="C620" t="s">
        <v>2850</v>
      </c>
      <c r="D620" t="s">
        <v>2848</v>
      </c>
      <c r="E620" t="s">
        <v>167</v>
      </c>
      <c r="H620" t="s">
        <v>22</v>
      </c>
      <c r="I620" t="s">
        <v>2849</v>
      </c>
    </row>
    <row r="621" spans="1:9" x14ac:dyDescent="0.35">
      <c r="A621" t="s">
        <v>2851</v>
      </c>
      <c r="B621" t="str">
        <f>"9781442220218"</f>
        <v>9781442220218</v>
      </c>
      <c r="C621" t="s">
        <v>2854</v>
      </c>
      <c r="D621" t="s">
        <v>2852</v>
      </c>
      <c r="E621" t="s">
        <v>882</v>
      </c>
      <c r="H621" t="s">
        <v>22</v>
      </c>
      <c r="I621" t="s">
        <v>2853</v>
      </c>
    </row>
    <row r="622" spans="1:9" x14ac:dyDescent="0.35">
      <c r="A622" t="s">
        <v>2855</v>
      </c>
      <c r="B622" t="str">
        <f>"9781136227943"</f>
        <v>9781136227943</v>
      </c>
      <c r="C622" t="s">
        <v>2859</v>
      </c>
      <c r="D622" t="s">
        <v>2857</v>
      </c>
      <c r="E622" t="s">
        <v>9</v>
      </c>
      <c r="F622" t="s">
        <v>2856</v>
      </c>
      <c r="H622" t="s">
        <v>147</v>
      </c>
      <c r="I622" t="s">
        <v>2858</v>
      </c>
    </row>
    <row r="623" spans="1:9" x14ac:dyDescent="0.35">
      <c r="A623" t="s">
        <v>2860</v>
      </c>
      <c r="B623" t="str">
        <f>"9780199856329"</f>
        <v>9780199856329</v>
      </c>
      <c r="C623" t="s">
        <v>2864</v>
      </c>
      <c r="D623" t="s">
        <v>2862</v>
      </c>
      <c r="E623" t="s">
        <v>167</v>
      </c>
      <c r="F623" t="s">
        <v>2861</v>
      </c>
      <c r="H623" t="s">
        <v>2221</v>
      </c>
      <c r="I623" t="s">
        <v>2863</v>
      </c>
    </row>
    <row r="624" spans="1:9" x14ac:dyDescent="0.35">
      <c r="A624" t="s">
        <v>2865</v>
      </c>
      <c r="B624" t="str">
        <f>"9780821397756"</f>
        <v>9780821397756</v>
      </c>
      <c r="C624" t="s">
        <v>2869</v>
      </c>
      <c r="D624" t="s">
        <v>2866</v>
      </c>
      <c r="E624" t="s">
        <v>863</v>
      </c>
      <c r="F624" t="s">
        <v>1431</v>
      </c>
      <c r="H624" t="s">
        <v>2867</v>
      </c>
      <c r="I624" t="s">
        <v>2868</v>
      </c>
    </row>
    <row r="625" spans="1:9" x14ac:dyDescent="0.35">
      <c r="A625" t="s">
        <v>2870</v>
      </c>
      <c r="B625" t="str">
        <f>"9780816682140"</f>
        <v>9780816682140</v>
      </c>
      <c r="C625" t="s">
        <v>2873</v>
      </c>
      <c r="D625" t="s">
        <v>2871</v>
      </c>
      <c r="E625" t="s">
        <v>305</v>
      </c>
      <c r="H625" t="s">
        <v>22</v>
      </c>
      <c r="I625" t="s">
        <v>2872</v>
      </c>
    </row>
    <row r="626" spans="1:9" x14ac:dyDescent="0.35">
      <c r="A626" t="s">
        <v>2874</v>
      </c>
      <c r="B626" t="str">
        <f>"9780803245686"</f>
        <v>9780803245686</v>
      </c>
      <c r="C626" t="s">
        <v>2877</v>
      </c>
      <c r="D626" t="s">
        <v>2875</v>
      </c>
      <c r="E626" t="s">
        <v>2337</v>
      </c>
      <c r="H626" t="s">
        <v>147</v>
      </c>
      <c r="I626" t="s">
        <v>2876</v>
      </c>
    </row>
    <row r="627" spans="1:9" x14ac:dyDescent="0.35">
      <c r="A627" t="s">
        <v>2878</v>
      </c>
      <c r="B627" t="str">
        <f>"9780803245464"</f>
        <v>9780803245464</v>
      </c>
      <c r="C627" t="s">
        <v>2883</v>
      </c>
      <c r="D627" t="s">
        <v>2881</v>
      </c>
      <c r="E627" t="s">
        <v>2879</v>
      </c>
      <c r="F627" t="s">
        <v>2880</v>
      </c>
      <c r="H627" t="s">
        <v>147</v>
      </c>
      <c r="I627" t="s">
        <v>2882</v>
      </c>
    </row>
    <row r="628" spans="1:9" x14ac:dyDescent="0.35">
      <c r="A628" t="s">
        <v>2884</v>
      </c>
      <c r="B628" t="str">
        <f>"9780708324660"</f>
        <v>9780708324660</v>
      </c>
      <c r="C628" t="s">
        <v>2888</v>
      </c>
      <c r="D628" t="s">
        <v>2886</v>
      </c>
      <c r="E628" t="s">
        <v>1108</v>
      </c>
      <c r="F628" t="s">
        <v>2885</v>
      </c>
      <c r="H628" t="s">
        <v>147</v>
      </c>
      <c r="I628" t="s">
        <v>2887</v>
      </c>
    </row>
    <row r="629" spans="1:9" x14ac:dyDescent="0.35">
      <c r="A629" t="s">
        <v>2889</v>
      </c>
      <c r="B629" t="str">
        <f>"9781134947669"</f>
        <v>9781134947669</v>
      </c>
      <c r="C629" t="s">
        <v>2892</v>
      </c>
      <c r="D629" t="s">
        <v>2890</v>
      </c>
      <c r="E629" t="s">
        <v>9</v>
      </c>
      <c r="H629" t="s">
        <v>197</v>
      </c>
      <c r="I629" t="s">
        <v>2891</v>
      </c>
    </row>
    <row r="630" spans="1:9" x14ac:dyDescent="0.35">
      <c r="A630" t="s">
        <v>2893</v>
      </c>
      <c r="B630" t="str">
        <f>"9781621039259"</f>
        <v>9781621039259</v>
      </c>
      <c r="C630" t="s">
        <v>2897</v>
      </c>
      <c r="D630" t="s">
        <v>2895</v>
      </c>
      <c r="E630" t="s">
        <v>1166</v>
      </c>
      <c r="F630" t="s">
        <v>2894</v>
      </c>
      <c r="H630" t="s">
        <v>147</v>
      </c>
      <c r="I630" t="s">
        <v>2896</v>
      </c>
    </row>
    <row r="631" spans="1:9" x14ac:dyDescent="0.35">
      <c r="A631" t="s">
        <v>2898</v>
      </c>
      <c r="B631" t="str">
        <f>"9781443806480"</f>
        <v>9781443806480</v>
      </c>
      <c r="C631" t="s">
        <v>2901</v>
      </c>
      <c r="D631" t="s">
        <v>2899</v>
      </c>
      <c r="E631" t="s">
        <v>2729</v>
      </c>
      <c r="H631" t="s">
        <v>22</v>
      </c>
      <c r="I631" t="s">
        <v>2900</v>
      </c>
    </row>
    <row r="632" spans="1:9" x14ac:dyDescent="0.35">
      <c r="A632" t="s">
        <v>2902</v>
      </c>
      <c r="B632" t="str">
        <f>"9781443804615"</f>
        <v>9781443804615</v>
      </c>
      <c r="C632" t="s">
        <v>2905</v>
      </c>
      <c r="D632" t="s">
        <v>2903</v>
      </c>
      <c r="E632" t="s">
        <v>2729</v>
      </c>
      <c r="H632" t="s">
        <v>22</v>
      </c>
      <c r="I632" t="s">
        <v>2904</v>
      </c>
    </row>
    <row r="633" spans="1:9" x14ac:dyDescent="0.35">
      <c r="A633" t="s">
        <v>2906</v>
      </c>
      <c r="B633" t="str">
        <f>"9781443814997"</f>
        <v>9781443814997</v>
      </c>
      <c r="C633" t="s">
        <v>2909</v>
      </c>
      <c r="D633" t="s">
        <v>2907</v>
      </c>
      <c r="E633" t="s">
        <v>2729</v>
      </c>
      <c r="H633" t="s">
        <v>86</v>
      </c>
      <c r="I633" t="s">
        <v>2908</v>
      </c>
    </row>
    <row r="634" spans="1:9" x14ac:dyDescent="0.35">
      <c r="A634" t="s">
        <v>2910</v>
      </c>
      <c r="B634" t="str">
        <f>"9781443812016"</f>
        <v>9781443812016</v>
      </c>
      <c r="C634" t="s">
        <v>2913</v>
      </c>
      <c r="D634" t="s">
        <v>2911</v>
      </c>
      <c r="E634" t="s">
        <v>2729</v>
      </c>
      <c r="H634" t="s">
        <v>22</v>
      </c>
      <c r="I634" t="s">
        <v>2912</v>
      </c>
    </row>
    <row r="635" spans="1:9" x14ac:dyDescent="0.35">
      <c r="A635" t="s">
        <v>2914</v>
      </c>
      <c r="B635" t="str">
        <f>"9781443807142"</f>
        <v>9781443807142</v>
      </c>
      <c r="C635" t="s">
        <v>2917</v>
      </c>
      <c r="D635" t="s">
        <v>2915</v>
      </c>
      <c r="E635" t="s">
        <v>2729</v>
      </c>
      <c r="H635" t="s">
        <v>22</v>
      </c>
      <c r="I635" t="s">
        <v>2916</v>
      </c>
    </row>
    <row r="636" spans="1:9" x14ac:dyDescent="0.35">
      <c r="A636" t="s">
        <v>2918</v>
      </c>
      <c r="B636" t="str">
        <f>"9781443802567"</f>
        <v>9781443802567</v>
      </c>
      <c r="C636" t="s">
        <v>2921</v>
      </c>
      <c r="D636" t="s">
        <v>2919</v>
      </c>
      <c r="E636" t="s">
        <v>2729</v>
      </c>
      <c r="H636" t="s">
        <v>22</v>
      </c>
      <c r="I636" t="s">
        <v>2920</v>
      </c>
    </row>
    <row r="637" spans="1:9" x14ac:dyDescent="0.35">
      <c r="A637" t="s">
        <v>2922</v>
      </c>
      <c r="B637" t="str">
        <f>"9781443811804"</f>
        <v>9781443811804</v>
      </c>
      <c r="C637" t="s">
        <v>2925</v>
      </c>
      <c r="D637" t="s">
        <v>2923</v>
      </c>
      <c r="E637" t="s">
        <v>2729</v>
      </c>
      <c r="H637" t="s">
        <v>17</v>
      </c>
      <c r="I637" t="s">
        <v>2924</v>
      </c>
    </row>
    <row r="638" spans="1:9" x14ac:dyDescent="0.35">
      <c r="A638" t="s">
        <v>2926</v>
      </c>
      <c r="B638" t="str">
        <f>"9781136481109"</f>
        <v>9781136481109</v>
      </c>
      <c r="C638" t="s">
        <v>2929</v>
      </c>
      <c r="D638" t="s">
        <v>2927</v>
      </c>
      <c r="E638" t="s">
        <v>9</v>
      </c>
      <c r="H638" t="s">
        <v>22</v>
      </c>
      <c r="I638" t="s">
        <v>2928</v>
      </c>
    </row>
    <row r="639" spans="1:9" x14ac:dyDescent="0.35">
      <c r="A639" t="s">
        <v>2930</v>
      </c>
      <c r="B639" t="str">
        <f>"9789882208452"</f>
        <v>9789882208452</v>
      </c>
      <c r="C639" t="s">
        <v>2933</v>
      </c>
      <c r="D639" t="s">
        <v>2931</v>
      </c>
      <c r="E639" t="s">
        <v>1500</v>
      </c>
      <c r="F639" t="s">
        <v>1506</v>
      </c>
      <c r="H639" t="s">
        <v>22</v>
      </c>
      <c r="I639" t="s">
        <v>2932</v>
      </c>
    </row>
    <row r="640" spans="1:9" x14ac:dyDescent="0.35">
      <c r="A640" t="s">
        <v>2934</v>
      </c>
      <c r="B640" t="str">
        <f>"9781442201040"</f>
        <v>9781442201040</v>
      </c>
      <c r="C640" t="s">
        <v>2938</v>
      </c>
      <c r="D640" t="s">
        <v>2936</v>
      </c>
      <c r="E640" t="s">
        <v>882</v>
      </c>
      <c r="F640" t="s">
        <v>2935</v>
      </c>
      <c r="H640" t="s">
        <v>22</v>
      </c>
      <c r="I640" t="s">
        <v>2937</v>
      </c>
    </row>
    <row r="641" spans="1:9" x14ac:dyDescent="0.35">
      <c r="A641" t="s">
        <v>2939</v>
      </c>
      <c r="B641" t="str">
        <f>"9780826350947"</f>
        <v>9780826350947</v>
      </c>
      <c r="C641" t="s">
        <v>2942</v>
      </c>
      <c r="D641" t="s">
        <v>2940</v>
      </c>
      <c r="E641" t="s">
        <v>2830</v>
      </c>
      <c r="H641" t="s">
        <v>38</v>
      </c>
      <c r="I641" t="s">
        <v>2941</v>
      </c>
    </row>
    <row r="642" spans="1:9" x14ac:dyDescent="0.35">
      <c r="A642" t="s">
        <v>2943</v>
      </c>
      <c r="B642" t="str">
        <f>"9780826351548"</f>
        <v>9780826351548</v>
      </c>
      <c r="C642" t="s">
        <v>2946</v>
      </c>
      <c r="D642" t="s">
        <v>2944</v>
      </c>
      <c r="E642" t="s">
        <v>2830</v>
      </c>
      <c r="H642" t="s">
        <v>22</v>
      </c>
      <c r="I642" t="s">
        <v>2945</v>
      </c>
    </row>
    <row r="643" spans="1:9" x14ac:dyDescent="0.35">
      <c r="A643" t="s">
        <v>2947</v>
      </c>
      <c r="B643" t="str">
        <f>"9780826334701"</f>
        <v>9780826334701</v>
      </c>
      <c r="C643" t="s">
        <v>2950</v>
      </c>
      <c r="D643" t="s">
        <v>2948</v>
      </c>
      <c r="E643" t="s">
        <v>2830</v>
      </c>
      <c r="H643" t="s">
        <v>22</v>
      </c>
      <c r="I643" t="s">
        <v>2949</v>
      </c>
    </row>
    <row r="644" spans="1:9" x14ac:dyDescent="0.35">
      <c r="A644" t="s">
        <v>2951</v>
      </c>
      <c r="B644" t="str">
        <f>"9780826351210"</f>
        <v>9780826351210</v>
      </c>
      <c r="C644" t="s">
        <v>2954</v>
      </c>
      <c r="D644" t="s">
        <v>2952</v>
      </c>
      <c r="E644" t="s">
        <v>2830</v>
      </c>
      <c r="H644" t="s">
        <v>38</v>
      </c>
      <c r="I644" t="s">
        <v>2953</v>
      </c>
    </row>
    <row r="645" spans="1:9" x14ac:dyDescent="0.35">
      <c r="A645" t="s">
        <v>2955</v>
      </c>
      <c r="B645" t="str">
        <f>"9780520955301"</f>
        <v>9780520955301</v>
      </c>
      <c r="C645" t="s">
        <v>2958</v>
      </c>
      <c r="D645" t="s">
        <v>2956</v>
      </c>
      <c r="E645" t="s">
        <v>84</v>
      </c>
      <c r="H645" t="s">
        <v>64</v>
      </c>
      <c r="I645" t="s">
        <v>2957</v>
      </c>
    </row>
    <row r="646" spans="1:9" x14ac:dyDescent="0.35">
      <c r="A646" t="s">
        <v>2959</v>
      </c>
      <c r="B646" t="str">
        <f>"9783110307337"</f>
        <v>9783110307337</v>
      </c>
      <c r="C646" t="s">
        <v>2963</v>
      </c>
      <c r="D646" t="s">
        <v>2961</v>
      </c>
      <c r="E646" t="s">
        <v>502</v>
      </c>
      <c r="F646" t="s">
        <v>2960</v>
      </c>
      <c r="H646" t="s">
        <v>1460</v>
      </c>
      <c r="I646" t="s">
        <v>2962</v>
      </c>
    </row>
    <row r="647" spans="1:9" x14ac:dyDescent="0.35">
      <c r="A647" t="s">
        <v>2964</v>
      </c>
      <c r="B647" t="str">
        <f>"9781136765674"</f>
        <v>9781136765674</v>
      </c>
      <c r="C647" t="s">
        <v>2967</v>
      </c>
      <c r="D647" t="s">
        <v>2965</v>
      </c>
      <c r="E647" t="s">
        <v>9</v>
      </c>
      <c r="H647" t="s">
        <v>138</v>
      </c>
      <c r="I647" t="s">
        <v>2966</v>
      </c>
    </row>
    <row r="648" spans="1:9" x14ac:dyDescent="0.35">
      <c r="A648" t="s">
        <v>2968</v>
      </c>
      <c r="B648" t="str">
        <f>"9781136568169"</f>
        <v>9781136568169</v>
      </c>
      <c r="C648" t="s">
        <v>2971</v>
      </c>
      <c r="D648" t="s">
        <v>2969</v>
      </c>
      <c r="E648" t="s">
        <v>9</v>
      </c>
      <c r="H648" t="s">
        <v>163</v>
      </c>
      <c r="I648" t="s">
        <v>2970</v>
      </c>
    </row>
    <row r="649" spans="1:9" x14ac:dyDescent="0.35">
      <c r="A649" t="s">
        <v>2972</v>
      </c>
      <c r="B649" t="str">
        <f>"9781135123529"</f>
        <v>9781135123529</v>
      </c>
      <c r="C649" t="s">
        <v>2976</v>
      </c>
      <c r="D649" t="s">
        <v>2973</v>
      </c>
      <c r="E649" t="s">
        <v>9</v>
      </c>
      <c r="F649" t="s">
        <v>2384</v>
      </c>
      <c r="H649" t="s">
        <v>2974</v>
      </c>
      <c r="I649" t="s">
        <v>2975</v>
      </c>
    </row>
    <row r="650" spans="1:9" x14ac:dyDescent="0.35">
      <c r="A650" t="s">
        <v>2977</v>
      </c>
      <c r="B650" t="str">
        <f>"9781135127442"</f>
        <v>9781135127442</v>
      </c>
      <c r="C650" t="s">
        <v>2980</v>
      </c>
      <c r="D650" t="s">
        <v>2978</v>
      </c>
      <c r="E650" t="s">
        <v>9</v>
      </c>
      <c r="H650" t="s">
        <v>22</v>
      </c>
      <c r="I650" t="s">
        <v>2979</v>
      </c>
    </row>
    <row r="651" spans="1:9" x14ac:dyDescent="0.35">
      <c r="A651" t="s">
        <v>2981</v>
      </c>
      <c r="B651" t="str">
        <f>"9781135131760"</f>
        <v>9781135131760</v>
      </c>
      <c r="C651" t="s">
        <v>2984</v>
      </c>
      <c r="D651" t="s">
        <v>2982</v>
      </c>
      <c r="E651" t="s">
        <v>9</v>
      </c>
      <c r="H651" t="s">
        <v>147</v>
      </c>
      <c r="I651" t="s">
        <v>2983</v>
      </c>
    </row>
    <row r="652" spans="1:9" x14ac:dyDescent="0.35">
      <c r="A652" t="s">
        <v>2985</v>
      </c>
      <c r="B652" t="str">
        <f>"9781136186936"</f>
        <v>9781136186936</v>
      </c>
      <c r="C652" t="s">
        <v>2989</v>
      </c>
      <c r="D652" t="s">
        <v>2987</v>
      </c>
      <c r="E652" t="s">
        <v>9</v>
      </c>
      <c r="F652" t="s">
        <v>2986</v>
      </c>
      <c r="H652" t="s">
        <v>22</v>
      </c>
      <c r="I652" t="s">
        <v>2988</v>
      </c>
    </row>
    <row r="653" spans="1:9" x14ac:dyDescent="0.35">
      <c r="A653" t="s">
        <v>2990</v>
      </c>
      <c r="B653" t="str">
        <f>"9781781905364"</f>
        <v>9781781905364</v>
      </c>
      <c r="C653" t="s">
        <v>2993</v>
      </c>
      <c r="D653" t="s">
        <v>2991</v>
      </c>
      <c r="E653" t="s">
        <v>818</v>
      </c>
      <c r="F653" t="s">
        <v>819</v>
      </c>
      <c r="H653" t="s">
        <v>22</v>
      </c>
      <c r="I653" t="s">
        <v>2992</v>
      </c>
    </row>
    <row r="654" spans="1:9" x14ac:dyDescent="0.35">
      <c r="A654" t="s">
        <v>2994</v>
      </c>
      <c r="B654" t="str">
        <f>"9781861899576"</f>
        <v>9781861899576</v>
      </c>
      <c r="C654" t="s">
        <v>2997</v>
      </c>
      <c r="D654" t="s">
        <v>2995</v>
      </c>
      <c r="E654" t="s">
        <v>2043</v>
      </c>
      <c r="H654" t="s">
        <v>22</v>
      </c>
      <c r="I654" t="s">
        <v>2996</v>
      </c>
    </row>
    <row r="655" spans="1:9" x14ac:dyDescent="0.35">
      <c r="A655" t="s">
        <v>2998</v>
      </c>
      <c r="B655" t="str">
        <f>"9780739167045"</f>
        <v>9780739167045</v>
      </c>
      <c r="C655" t="s">
        <v>3001</v>
      </c>
      <c r="D655" t="s">
        <v>2999</v>
      </c>
      <c r="E655" t="s">
        <v>887</v>
      </c>
      <c r="H655" t="s">
        <v>2768</v>
      </c>
      <c r="I655" t="s">
        <v>3000</v>
      </c>
    </row>
    <row r="656" spans="1:9" x14ac:dyDescent="0.35">
      <c r="A656" t="s">
        <v>3002</v>
      </c>
      <c r="B656" t="str">
        <f>"9781442220416"</f>
        <v>9781442220416</v>
      </c>
      <c r="C656" t="s">
        <v>3005</v>
      </c>
      <c r="D656" t="s">
        <v>3003</v>
      </c>
      <c r="E656" t="s">
        <v>882</v>
      </c>
      <c r="H656" t="s">
        <v>22</v>
      </c>
      <c r="I656" t="s">
        <v>3004</v>
      </c>
    </row>
    <row r="657" spans="1:9" x14ac:dyDescent="0.35">
      <c r="A657" t="s">
        <v>3006</v>
      </c>
      <c r="B657" t="str">
        <f>"9781136173417"</f>
        <v>9781136173417</v>
      </c>
      <c r="C657" t="s">
        <v>3010</v>
      </c>
      <c r="D657" t="s">
        <v>3008</v>
      </c>
      <c r="E657" t="s">
        <v>9</v>
      </c>
      <c r="F657" t="s">
        <v>3007</v>
      </c>
      <c r="H657" t="s">
        <v>1858</v>
      </c>
      <c r="I657" t="s">
        <v>3009</v>
      </c>
    </row>
    <row r="658" spans="1:9" x14ac:dyDescent="0.35">
      <c r="A658" t="s">
        <v>3011</v>
      </c>
      <c r="B658" t="str">
        <f>"9781136275395"</f>
        <v>9781136275395</v>
      </c>
      <c r="C658" t="s">
        <v>3014</v>
      </c>
      <c r="D658" t="s">
        <v>3012</v>
      </c>
      <c r="E658" t="s">
        <v>9</v>
      </c>
      <c r="F658" t="s">
        <v>2393</v>
      </c>
      <c r="H658" t="s">
        <v>22</v>
      </c>
      <c r="I658" t="s">
        <v>3013</v>
      </c>
    </row>
    <row r="659" spans="1:9" x14ac:dyDescent="0.35">
      <c r="A659" t="s">
        <v>3015</v>
      </c>
      <c r="B659" t="str">
        <f>"9780199970681"</f>
        <v>9780199970681</v>
      </c>
      <c r="C659" t="s">
        <v>3018</v>
      </c>
      <c r="D659" t="s">
        <v>3016</v>
      </c>
      <c r="E659" t="s">
        <v>167</v>
      </c>
      <c r="H659" t="s">
        <v>406</v>
      </c>
      <c r="I659" t="s">
        <v>3017</v>
      </c>
    </row>
    <row r="660" spans="1:9" x14ac:dyDescent="0.35">
      <c r="A660" t="s">
        <v>3019</v>
      </c>
      <c r="B660" t="str">
        <f>"9781443822930"</f>
        <v>9781443822930</v>
      </c>
      <c r="C660" t="s">
        <v>3022</v>
      </c>
      <c r="D660" t="s">
        <v>3020</v>
      </c>
      <c r="E660" t="s">
        <v>2729</v>
      </c>
      <c r="H660" t="s">
        <v>147</v>
      </c>
      <c r="I660" t="s">
        <v>3021</v>
      </c>
    </row>
    <row r="661" spans="1:9" x14ac:dyDescent="0.35">
      <c r="A661" t="s">
        <v>3023</v>
      </c>
      <c r="B661" t="str">
        <f>"9781443807883"</f>
        <v>9781443807883</v>
      </c>
      <c r="C661" t="s">
        <v>3026</v>
      </c>
      <c r="D661" t="s">
        <v>3024</v>
      </c>
      <c r="E661" t="s">
        <v>2729</v>
      </c>
      <c r="H661" t="s">
        <v>22</v>
      </c>
      <c r="I661" t="s">
        <v>3025</v>
      </c>
    </row>
    <row r="662" spans="1:9" x14ac:dyDescent="0.35">
      <c r="A662" t="s">
        <v>3027</v>
      </c>
      <c r="B662" t="str">
        <f>"9781443838733"</f>
        <v>9781443838733</v>
      </c>
      <c r="C662" t="s">
        <v>3030</v>
      </c>
      <c r="D662" t="s">
        <v>3028</v>
      </c>
      <c r="E662" t="s">
        <v>2729</v>
      </c>
      <c r="H662" t="s">
        <v>22</v>
      </c>
      <c r="I662" t="s">
        <v>3029</v>
      </c>
    </row>
    <row r="663" spans="1:9" x14ac:dyDescent="0.35">
      <c r="A663" t="s">
        <v>3031</v>
      </c>
      <c r="B663" t="str">
        <f>"9781443803052"</f>
        <v>9781443803052</v>
      </c>
      <c r="C663" t="s">
        <v>3034</v>
      </c>
      <c r="D663" t="s">
        <v>3032</v>
      </c>
      <c r="E663" t="s">
        <v>2729</v>
      </c>
      <c r="H663" t="s">
        <v>86</v>
      </c>
      <c r="I663" t="s">
        <v>3033</v>
      </c>
    </row>
    <row r="664" spans="1:9" x14ac:dyDescent="0.35">
      <c r="A664" t="s">
        <v>3035</v>
      </c>
      <c r="B664" t="str">
        <f>"9781443810197"</f>
        <v>9781443810197</v>
      </c>
      <c r="C664" t="s">
        <v>3038</v>
      </c>
      <c r="D664" t="s">
        <v>3036</v>
      </c>
      <c r="E664" t="s">
        <v>2729</v>
      </c>
      <c r="H664" t="s">
        <v>75</v>
      </c>
      <c r="I664" t="s">
        <v>3037</v>
      </c>
    </row>
    <row r="665" spans="1:9" x14ac:dyDescent="0.35">
      <c r="A665" t="s">
        <v>3039</v>
      </c>
      <c r="B665" t="str">
        <f>"9781443830645"</f>
        <v>9781443830645</v>
      </c>
      <c r="C665" t="s">
        <v>3042</v>
      </c>
      <c r="D665" t="s">
        <v>3040</v>
      </c>
      <c r="E665" t="s">
        <v>2729</v>
      </c>
      <c r="H665" t="s">
        <v>674</v>
      </c>
      <c r="I665" t="s">
        <v>3041</v>
      </c>
    </row>
    <row r="666" spans="1:9" x14ac:dyDescent="0.35">
      <c r="A666" t="s">
        <v>3043</v>
      </c>
      <c r="B666" t="str">
        <f>"9782869784123"</f>
        <v>9782869784123</v>
      </c>
      <c r="C666" t="s">
        <v>3047</v>
      </c>
      <c r="D666" t="s">
        <v>3045</v>
      </c>
      <c r="E666" t="s">
        <v>3044</v>
      </c>
      <c r="H666" t="s">
        <v>22</v>
      </c>
      <c r="I666" t="s">
        <v>3046</v>
      </c>
    </row>
    <row r="667" spans="1:9" x14ac:dyDescent="0.35">
      <c r="A667" t="s">
        <v>3048</v>
      </c>
      <c r="B667" t="str">
        <f>"9780313063428"</f>
        <v>9780313063428</v>
      </c>
      <c r="C667" t="s">
        <v>3052</v>
      </c>
      <c r="D667" t="s">
        <v>3050</v>
      </c>
      <c r="E667" t="s">
        <v>338</v>
      </c>
      <c r="F667" t="s">
        <v>3049</v>
      </c>
      <c r="H667" t="s">
        <v>209</v>
      </c>
      <c r="I667" t="s">
        <v>3051</v>
      </c>
    </row>
    <row r="668" spans="1:9" x14ac:dyDescent="0.35">
      <c r="A668" t="s">
        <v>3053</v>
      </c>
      <c r="B668" t="str">
        <f>"9780810887886"</f>
        <v>9780810887886</v>
      </c>
      <c r="C668" t="s">
        <v>3056</v>
      </c>
      <c r="D668" t="s">
        <v>3054</v>
      </c>
      <c r="E668" t="s">
        <v>1060</v>
      </c>
      <c r="H668" t="s">
        <v>86</v>
      </c>
      <c r="I668" t="s">
        <v>3055</v>
      </c>
    </row>
    <row r="669" spans="1:9" x14ac:dyDescent="0.35">
      <c r="A669" t="s">
        <v>3057</v>
      </c>
      <c r="B669" t="str">
        <f>"9780520955134"</f>
        <v>9780520955134</v>
      </c>
      <c r="C669" t="s">
        <v>3060</v>
      </c>
      <c r="D669" t="s">
        <v>3058</v>
      </c>
      <c r="E669" t="s">
        <v>84</v>
      </c>
      <c r="H669" t="s">
        <v>22</v>
      </c>
      <c r="I669" t="s">
        <v>3059</v>
      </c>
    </row>
    <row r="670" spans="1:9" x14ac:dyDescent="0.35">
      <c r="A670" t="s">
        <v>3061</v>
      </c>
      <c r="B670" t="str">
        <f>"9781107333581"</f>
        <v>9781107333581</v>
      </c>
      <c r="C670" t="s">
        <v>3065</v>
      </c>
      <c r="D670" t="s">
        <v>3063</v>
      </c>
      <c r="E670" t="s">
        <v>390</v>
      </c>
      <c r="F670" t="s">
        <v>3062</v>
      </c>
      <c r="H670" t="s">
        <v>349</v>
      </c>
      <c r="I670" t="s">
        <v>3064</v>
      </c>
    </row>
    <row r="671" spans="1:9" x14ac:dyDescent="0.35">
      <c r="A671" t="s">
        <v>3066</v>
      </c>
      <c r="B671" t="str">
        <f>"9781107347533"</f>
        <v>9781107347533</v>
      </c>
      <c r="C671" t="s">
        <v>3069</v>
      </c>
      <c r="D671" t="s">
        <v>3067</v>
      </c>
      <c r="E671" t="s">
        <v>390</v>
      </c>
      <c r="H671" t="s">
        <v>163</v>
      </c>
      <c r="I671" t="s">
        <v>3068</v>
      </c>
    </row>
    <row r="672" spans="1:9" x14ac:dyDescent="0.35">
      <c r="A672" t="s">
        <v>3070</v>
      </c>
      <c r="B672" t="str">
        <f>"9781107348226"</f>
        <v>9781107348226</v>
      </c>
      <c r="C672" t="s">
        <v>3073</v>
      </c>
      <c r="D672" t="s">
        <v>3071</v>
      </c>
      <c r="E672" t="s">
        <v>390</v>
      </c>
      <c r="H672" t="s">
        <v>397</v>
      </c>
      <c r="I672" t="s">
        <v>3072</v>
      </c>
    </row>
    <row r="673" spans="1:9" x14ac:dyDescent="0.35">
      <c r="A673" t="s">
        <v>3074</v>
      </c>
      <c r="B673" t="str">
        <f>"9789004247772"</f>
        <v>9789004247772</v>
      </c>
      <c r="C673" t="s">
        <v>3078</v>
      </c>
      <c r="D673" t="s">
        <v>3076</v>
      </c>
      <c r="E673" t="s">
        <v>901</v>
      </c>
      <c r="F673" t="s">
        <v>3075</v>
      </c>
      <c r="H673" t="s">
        <v>22</v>
      </c>
      <c r="I673" t="s">
        <v>3077</v>
      </c>
    </row>
    <row r="674" spans="1:9" x14ac:dyDescent="0.35">
      <c r="A674" t="s">
        <v>3079</v>
      </c>
      <c r="B674" t="str">
        <f>"9781136294747"</f>
        <v>9781136294747</v>
      </c>
      <c r="C674" t="s">
        <v>3082</v>
      </c>
      <c r="D674" t="s">
        <v>3080</v>
      </c>
      <c r="E674" t="s">
        <v>9</v>
      </c>
      <c r="H674" t="s">
        <v>209</v>
      </c>
      <c r="I674" t="s">
        <v>3081</v>
      </c>
    </row>
    <row r="675" spans="1:9" x14ac:dyDescent="0.35">
      <c r="A675" t="s">
        <v>3083</v>
      </c>
      <c r="B675" t="str">
        <f>"9781135092146"</f>
        <v>9781135092146</v>
      </c>
      <c r="C675" t="s">
        <v>3087</v>
      </c>
      <c r="D675" t="s">
        <v>3085</v>
      </c>
      <c r="E675" t="s">
        <v>9</v>
      </c>
      <c r="F675" t="s">
        <v>3084</v>
      </c>
      <c r="H675" t="s">
        <v>22</v>
      </c>
      <c r="I675" t="s">
        <v>3086</v>
      </c>
    </row>
    <row r="676" spans="1:9" x14ac:dyDescent="0.35">
      <c r="A676" t="s">
        <v>3088</v>
      </c>
      <c r="B676" t="str">
        <f>"9781135114534"</f>
        <v>9781135114534</v>
      </c>
      <c r="C676" t="s">
        <v>3092</v>
      </c>
      <c r="D676" t="s">
        <v>3090</v>
      </c>
      <c r="E676" t="s">
        <v>9</v>
      </c>
      <c r="F676" t="s">
        <v>3089</v>
      </c>
      <c r="H676" t="s">
        <v>163</v>
      </c>
      <c r="I676" t="s">
        <v>3091</v>
      </c>
    </row>
    <row r="677" spans="1:9" x14ac:dyDescent="0.35">
      <c r="A677" t="s">
        <v>3093</v>
      </c>
      <c r="B677" t="str">
        <f>"9789027272300"</f>
        <v>9789027272300</v>
      </c>
      <c r="C677" t="s">
        <v>3097</v>
      </c>
      <c r="D677" t="s">
        <v>3095</v>
      </c>
      <c r="E677" t="s">
        <v>1330</v>
      </c>
      <c r="F677" t="s">
        <v>3094</v>
      </c>
      <c r="H677" t="s">
        <v>470</v>
      </c>
      <c r="I677" t="s">
        <v>3096</v>
      </c>
    </row>
    <row r="678" spans="1:9" x14ac:dyDescent="0.35">
      <c r="A678" t="s">
        <v>3098</v>
      </c>
      <c r="B678" t="str">
        <f>"9780810891197"</f>
        <v>9780810891197</v>
      </c>
      <c r="C678" t="s">
        <v>3101</v>
      </c>
      <c r="D678" t="s">
        <v>3099</v>
      </c>
      <c r="E678" t="s">
        <v>1060</v>
      </c>
      <c r="H678" t="s">
        <v>86</v>
      </c>
      <c r="I678" t="s">
        <v>3100</v>
      </c>
    </row>
    <row r="679" spans="1:9" x14ac:dyDescent="0.35">
      <c r="A679" t="s">
        <v>3102</v>
      </c>
      <c r="B679" t="str">
        <f>"9781136732942"</f>
        <v>9781136732942</v>
      </c>
      <c r="C679" t="s">
        <v>3106</v>
      </c>
      <c r="D679" t="s">
        <v>3104</v>
      </c>
      <c r="E679" t="s">
        <v>9</v>
      </c>
      <c r="F679" t="s">
        <v>3103</v>
      </c>
      <c r="H679" t="s">
        <v>70</v>
      </c>
      <c r="I679" t="s">
        <v>3105</v>
      </c>
    </row>
    <row r="680" spans="1:9" x14ac:dyDescent="0.35">
      <c r="A680" t="s">
        <v>3107</v>
      </c>
      <c r="B680" t="str">
        <f>"9781780324043"</f>
        <v>9781780324043</v>
      </c>
      <c r="C680" t="s">
        <v>3110</v>
      </c>
      <c r="D680" t="s">
        <v>3108</v>
      </c>
      <c r="E680" t="s">
        <v>493</v>
      </c>
      <c r="H680" t="s">
        <v>22</v>
      </c>
      <c r="I680" t="s">
        <v>3109</v>
      </c>
    </row>
    <row r="681" spans="1:9" x14ac:dyDescent="0.35">
      <c r="A681" t="s">
        <v>3111</v>
      </c>
      <c r="B681" t="str">
        <f>"9780739177792"</f>
        <v>9780739177792</v>
      </c>
      <c r="C681" t="s">
        <v>3114</v>
      </c>
      <c r="D681" t="s">
        <v>3112</v>
      </c>
      <c r="E681" t="s">
        <v>887</v>
      </c>
      <c r="H681" t="s">
        <v>22</v>
      </c>
      <c r="I681" t="s">
        <v>3113</v>
      </c>
    </row>
    <row r="682" spans="1:9" x14ac:dyDescent="0.35">
      <c r="A682" t="s">
        <v>3115</v>
      </c>
      <c r="B682" t="str">
        <f>"9780520954762"</f>
        <v>9780520954762</v>
      </c>
      <c r="C682" t="s">
        <v>3118</v>
      </c>
      <c r="D682" t="s">
        <v>3116</v>
      </c>
      <c r="E682" t="s">
        <v>84</v>
      </c>
      <c r="H682" t="s">
        <v>86</v>
      </c>
      <c r="I682" t="s">
        <v>3117</v>
      </c>
    </row>
    <row r="683" spans="1:9" x14ac:dyDescent="0.35">
      <c r="A683" t="s">
        <v>3119</v>
      </c>
      <c r="B683" t="str">
        <f>"9780742581388"</f>
        <v>9780742581388</v>
      </c>
      <c r="C683" t="s">
        <v>3122</v>
      </c>
      <c r="D683" t="s">
        <v>3120</v>
      </c>
      <c r="E683" t="s">
        <v>882</v>
      </c>
      <c r="F683" t="s">
        <v>1888</v>
      </c>
      <c r="H683" t="s">
        <v>22</v>
      </c>
      <c r="I683" t="s">
        <v>3121</v>
      </c>
    </row>
    <row r="684" spans="1:9" x14ac:dyDescent="0.35">
      <c r="A684" t="s">
        <v>3123</v>
      </c>
      <c r="B684" t="str">
        <f>"9780761848745"</f>
        <v>9780761848745</v>
      </c>
      <c r="C684" t="s">
        <v>3128</v>
      </c>
      <c r="D684" t="s">
        <v>3125</v>
      </c>
      <c r="E684" t="s">
        <v>3124</v>
      </c>
      <c r="H684" t="s">
        <v>3126</v>
      </c>
      <c r="I684" t="s">
        <v>3127</v>
      </c>
    </row>
    <row r="685" spans="1:9" x14ac:dyDescent="0.35">
      <c r="A685" t="s">
        <v>3129</v>
      </c>
      <c r="B685" t="str">
        <f>"9781443824477"</f>
        <v>9781443824477</v>
      </c>
      <c r="C685" t="s">
        <v>3132</v>
      </c>
      <c r="D685" t="s">
        <v>3130</v>
      </c>
      <c r="E685" t="s">
        <v>2729</v>
      </c>
      <c r="H685" t="s">
        <v>86</v>
      </c>
      <c r="I685" t="s">
        <v>3131</v>
      </c>
    </row>
    <row r="686" spans="1:9" x14ac:dyDescent="0.35">
      <c r="A686" t="s">
        <v>3133</v>
      </c>
      <c r="B686" t="str">
        <f>"9781443823012"</f>
        <v>9781443823012</v>
      </c>
      <c r="C686" t="s">
        <v>3136</v>
      </c>
      <c r="D686" t="s">
        <v>3134</v>
      </c>
      <c r="E686" t="s">
        <v>2729</v>
      </c>
      <c r="H686" t="s">
        <v>86</v>
      </c>
      <c r="I686" t="s">
        <v>3135</v>
      </c>
    </row>
    <row r="687" spans="1:9" x14ac:dyDescent="0.35">
      <c r="A687" t="s">
        <v>3137</v>
      </c>
      <c r="B687" t="str">
        <f>"9781136421846"</f>
        <v>9781136421846</v>
      </c>
      <c r="C687" t="s">
        <v>3140</v>
      </c>
      <c r="D687" t="s">
        <v>3138</v>
      </c>
      <c r="E687" t="s">
        <v>9</v>
      </c>
      <c r="H687" t="s">
        <v>377</v>
      </c>
      <c r="I687" t="s">
        <v>3139</v>
      </c>
    </row>
    <row r="688" spans="1:9" x14ac:dyDescent="0.35">
      <c r="A688" t="s">
        <v>3141</v>
      </c>
      <c r="B688" t="str">
        <f>"9781136218972"</f>
        <v>9781136218972</v>
      </c>
      <c r="C688" t="s">
        <v>3144</v>
      </c>
      <c r="D688" t="s">
        <v>3142</v>
      </c>
      <c r="E688" t="s">
        <v>9</v>
      </c>
      <c r="H688" t="s">
        <v>397</v>
      </c>
      <c r="I688" t="s">
        <v>3143</v>
      </c>
    </row>
    <row r="689" spans="1:9" x14ac:dyDescent="0.35">
      <c r="A689" t="s">
        <v>3145</v>
      </c>
      <c r="B689" t="str">
        <f>"9780253008923"</f>
        <v>9780253008923</v>
      </c>
      <c r="C689" t="s">
        <v>3148</v>
      </c>
      <c r="D689" t="s">
        <v>3146</v>
      </c>
      <c r="E689" t="s">
        <v>110</v>
      </c>
      <c r="H689" t="s">
        <v>86</v>
      </c>
      <c r="I689" t="s">
        <v>3147</v>
      </c>
    </row>
    <row r="690" spans="1:9" x14ac:dyDescent="0.35">
      <c r="A690" t="s">
        <v>3149</v>
      </c>
      <c r="B690" t="str">
        <f>"9781136163791"</f>
        <v>9781136163791</v>
      </c>
      <c r="C690" t="s">
        <v>3152</v>
      </c>
      <c r="D690" t="s">
        <v>3150</v>
      </c>
      <c r="E690" t="s">
        <v>9</v>
      </c>
      <c r="F690" t="s">
        <v>120</v>
      </c>
      <c r="H690" t="s">
        <v>22</v>
      </c>
      <c r="I690" t="s">
        <v>3151</v>
      </c>
    </row>
    <row r="691" spans="1:9" x14ac:dyDescent="0.35">
      <c r="A691" t="s">
        <v>3153</v>
      </c>
      <c r="B691" t="str">
        <f>"9781135069742"</f>
        <v>9781135069742</v>
      </c>
      <c r="C691" t="s">
        <v>3156</v>
      </c>
      <c r="D691" t="s">
        <v>3154</v>
      </c>
      <c r="E691" t="s">
        <v>9</v>
      </c>
      <c r="F691" t="s">
        <v>791</v>
      </c>
      <c r="H691" t="s">
        <v>70</v>
      </c>
      <c r="I691" t="s">
        <v>3155</v>
      </c>
    </row>
    <row r="692" spans="1:9" x14ac:dyDescent="0.35">
      <c r="A692" t="s">
        <v>3157</v>
      </c>
      <c r="B692" t="str">
        <f>"9781555538316"</f>
        <v>9781555538316</v>
      </c>
      <c r="C692" t="s">
        <v>3161</v>
      </c>
      <c r="D692" t="s">
        <v>3159</v>
      </c>
      <c r="E692" t="s">
        <v>2761</v>
      </c>
      <c r="F692" t="s">
        <v>3158</v>
      </c>
      <c r="H692" t="s">
        <v>22</v>
      </c>
      <c r="I692" t="s">
        <v>3160</v>
      </c>
    </row>
    <row r="693" spans="1:9" x14ac:dyDescent="0.35">
      <c r="A693" t="s">
        <v>3162</v>
      </c>
      <c r="B693" t="str">
        <f>"9781555538347"</f>
        <v>9781555538347</v>
      </c>
      <c r="C693" t="s">
        <v>3165</v>
      </c>
      <c r="D693" t="s">
        <v>3163</v>
      </c>
      <c r="E693" t="s">
        <v>2761</v>
      </c>
      <c r="F693" t="s">
        <v>3158</v>
      </c>
      <c r="H693" t="s">
        <v>22</v>
      </c>
      <c r="I693" t="s">
        <v>3164</v>
      </c>
    </row>
    <row r="694" spans="1:9" x14ac:dyDescent="0.35">
      <c r="A694" t="s">
        <v>3166</v>
      </c>
      <c r="B694" t="str">
        <f>"9781135944988"</f>
        <v>9781135944988</v>
      </c>
      <c r="C694" t="s">
        <v>3169</v>
      </c>
      <c r="D694" t="s">
        <v>3167</v>
      </c>
      <c r="E694" t="s">
        <v>9</v>
      </c>
      <c r="F694" t="s">
        <v>68</v>
      </c>
      <c r="H694" t="s">
        <v>22</v>
      </c>
      <c r="I694" t="s">
        <v>3168</v>
      </c>
    </row>
    <row r="695" spans="1:9" x14ac:dyDescent="0.35">
      <c r="A695" t="s">
        <v>3170</v>
      </c>
      <c r="B695" t="str">
        <f>"9781136663390"</f>
        <v>9781136663390</v>
      </c>
      <c r="C695" t="s">
        <v>3173</v>
      </c>
      <c r="D695" t="s">
        <v>3171</v>
      </c>
      <c r="E695" t="s">
        <v>9</v>
      </c>
      <c r="H695" t="s">
        <v>209</v>
      </c>
      <c r="I695" t="s">
        <v>3172</v>
      </c>
    </row>
    <row r="696" spans="1:9" x14ac:dyDescent="0.35">
      <c r="A696" t="s">
        <v>3174</v>
      </c>
      <c r="B696" t="str">
        <f>"9781136173349"</f>
        <v>9781136173349</v>
      </c>
      <c r="C696" t="s">
        <v>3177</v>
      </c>
      <c r="D696" t="s">
        <v>3175</v>
      </c>
      <c r="E696" t="s">
        <v>9</v>
      </c>
      <c r="H696" t="s">
        <v>17</v>
      </c>
      <c r="I696" t="s">
        <v>3176</v>
      </c>
    </row>
    <row r="697" spans="1:9" x14ac:dyDescent="0.35">
      <c r="A697" t="s">
        <v>3178</v>
      </c>
      <c r="B697" t="str">
        <f>"9781136292200"</f>
        <v>9781136292200</v>
      </c>
      <c r="C697" t="s">
        <v>3182</v>
      </c>
      <c r="D697" t="s">
        <v>3180</v>
      </c>
      <c r="E697" t="s">
        <v>9</v>
      </c>
      <c r="F697" t="s">
        <v>3179</v>
      </c>
      <c r="H697" t="s">
        <v>22</v>
      </c>
      <c r="I697" t="s">
        <v>3181</v>
      </c>
    </row>
    <row r="698" spans="1:9" x14ac:dyDescent="0.35">
      <c r="A698" t="s">
        <v>3183</v>
      </c>
      <c r="B698" t="str">
        <f>"9781107057418"</f>
        <v>9781107057418</v>
      </c>
      <c r="C698" t="s">
        <v>3187</v>
      </c>
      <c r="D698" t="s">
        <v>3185</v>
      </c>
      <c r="E698" t="s">
        <v>390</v>
      </c>
      <c r="F698" t="s">
        <v>3184</v>
      </c>
      <c r="H698" t="s">
        <v>153</v>
      </c>
      <c r="I698" t="s">
        <v>3186</v>
      </c>
    </row>
    <row r="699" spans="1:9" x14ac:dyDescent="0.35">
      <c r="A699" t="s">
        <v>3188</v>
      </c>
      <c r="B699" t="str">
        <f>"9781107058552"</f>
        <v>9781107058552</v>
      </c>
      <c r="C699" t="s">
        <v>3191</v>
      </c>
      <c r="D699" t="s">
        <v>3189</v>
      </c>
      <c r="E699" t="s">
        <v>390</v>
      </c>
      <c r="H699" t="s">
        <v>2768</v>
      </c>
      <c r="I699" t="s">
        <v>3190</v>
      </c>
    </row>
    <row r="700" spans="1:9" x14ac:dyDescent="0.35">
      <c r="A700" t="s">
        <v>3192</v>
      </c>
      <c r="B700" t="str">
        <f>"9789027272041"</f>
        <v>9789027272041</v>
      </c>
      <c r="C700" t="s">
        <v>3196</v>
      </c>
      <c r="D700" t="s">
        <v>3194</v>
      </c>
      <c r="E700" t="s">
        <v>1330</v>
      </c>
      <c r="F700" t="s">
        <v>3193</v>
      </c>
      <c r="H700" t="s">
        <v>147</v>
      </c>
      <c r="I700" t="s">
        <v>3195</v>
      </c>
    </row>
    <row r="701" spans="1:9" x14ac:dyDescent="0.35">
      <c r="A701" t="s">
        <v>3197</v>
      </c>
      <c r="B701" t="str">
        <f>"9780253009418"</f>
        <v>9780253009418</v>
      </c>
      <c r="C701" t="s">
        <v>3200</v>
      </c>
      <c r="D701" t="s">
        <v>3198</v>
      </c>
      <c r="E701" t="s">
        <v>110</v>
      </c>
      <c r="H701" t="s">
        <v>22</v>
      </c>
      <c r="I701" t="s">
        <v>3199</v>
      </c>
    </row>
    <row r="702" spans="1:9" x14ac:dyDescent="0.35">
      <c r="A702" t="s">
        <v>3201</v>
      </c>
      <c r="B702" t="str">
        <f>"9780821398920"</f>
        <v>9780821398920</v>
      </c>
      <c r="C702" t="s">
        <v>3204</v>
      </c>
      <c r="D702" t="s">
        <v>3202</v>
      </c>
      <c r="E702" t="s">
        <v>863</v>
      </c>
      <c r="F702" t="s">
        <v>1431</v>
      </c>
      <c r="H702" t="s">
        <v>22</v>
      </c>
      <c r="I702" t="s">
        <v>3203</v>
      </c>
    </row>
    <row r="703" spans="1:9" x14ac:dyDescent="0.35">
      <c r="A703" t="s">
        <v>3205</v>
      </c>
      <c r="B703" t="str">
        <f>"9780804786638"</f>
        <v>9780804786638</v>
      </c>
      <c r="C703" t="s">
        <v>3209</v>
      </c>
      <c r="D703" t="s">
        <v>3207</v>
      </c>
      <c r="E703" t="s">
        <v>1186</v>
      </c>
      <c r="F703" t="s">
        <v>3206</v>
      </c>
      <c r="H703" t="s">
        <v>147</v>
      </c>
      <c r="I703" t="s">
        <v>3208</v>
      </c>
    </row>
    <row r="704" spans="1:9" x14ac:dyDescent="0.35">
      <c r="A704" t="s">
        <v>3210</v>
      </c>
      <c r="B704" t="str">
        <f>"9781136742507"</f>
        <v>9781136742507</v>
      </c>
      <c r="C704" t="s">
        <v>3213</v>
      </c>
      <c r="D704" t="s">
        <v>3211</v>
      </c>
      <c r="E704" t="s">
        <v>9</v>
      </c>
      <c r="H704" t="s">
        <v>2300</v>
      </c>
      <c r="I704" t="s">
        <v>3212</v>
      </c>
    </row>
    <row r="705" spans="1:9" x14ac:dyDescent="0.35">
      <c r="A705" t="s">
        <v>3214</v>
      </c>
      <c r="B705" t="str">
        <f>"9780739177068"</f>
        <v>9780739177068</v>
      </c>
      <c r="C705" t="s">
        <v>3217</v>
      </c>
      <c r="D705" t="s">
        <v>3215</v>
      </c>
      <c r="E705" t="s">
        <v>887</v>
      </c>
      <c r="H705" t="s">
        <v>58</v>
      </c>
      <c r="I705" t="s">
        <v>3216</v>
      </c>
    </row>
    <row r="706" spans="1:9" x14ac:dyDescent="0.35">
      <c r="A706" t="s">
        <v>3218</v>
      </c>
      <c r="B706" t="str">
        <f>"9781452939629"</f>
        <v>9781452939629</v>
      </c>
      <c r="C706" t="s">
        <v>3221</v>
      </c>
      <c r="D706" t="s">
        <v>3219</v>
      </c>
      <c r="E706" t="s">
        <v>305</v>
      </c>
      <c r="H706" t="s">
        <v>625</v>
      </c>
      <c r="I706" t="s">
        <v>3220</v>
      </c>
    </row>
    <row r="707" spans="1:9" x14ac:dyDescent="0.35">
      <c r="A707" t="s">
        <v>3222</v>
      </c>
      <c r="B707" t="str">
        <f>"9780739175637"</f>
        <v>9780739175637</v>
      </c>
      <c r="C707" t="s">
        <v>3225</v>
      </c>
      <c r="D707" t="s">
        <v>3223</v>
      </c>
      <c r="E707" t="s">
        <v>887</v>
      </c>
      <c r="H707" t="s">
        <v>22</v>
      </c>
      <c r="I707" t="s">
        <v>3224</v>
      </c>
    </row>
    <row r="708" spans="1:9" x14ac:dyDescent="0.35">
      <c r="A708" t="s">
        <v>3226</v>
      </c>
      <c r="B708" t="str">
        <f>"9781136160905"</f>
        <v>9781136160905</v>
      </c>
      <c r="C708" t="s">
        <v>3229</v>
      </c>
      <c r="D708" t="s">
        <v>3227</v>
      </c>
      <c r="E708" t="s">
        <v>9</v>
      </c>
      <c r="F708" t="s">
        <v>62</v>
      </c>
      <c r="H708" t="s">
        <v>531</v>
      </c>
      <c r="I708" t="s">
        <v>3228</v>
      </c>
    </row>
    <row r="709" spans="1:9" x14ac:dyDescent="0.35">
      <c r="A709" t="s">
        <v>3230</v>
      </c>
      <c r="B709" t="str">
        <f>"9781134074839"</f>
        <v>9781134074839</v>
      </c>
      <c r="C709" t="s">
        <v>3234</v>
      </c>
      <c r="D709" t="s">
        <v>3232</v>
      </c>
      <c r="E709" t="s">
        <v>9</v>
      </c>
      <c r="F709" t="s">
        <v>3231</v>
      </c>
      <c r="H709" t="s">
        <v>163</v>
      </c>
      <c r="I709" t="s">
        <v>3233</v>
      </c>
    </row>
    <row r="710" spans="1:9" x14ac:dyDescent="0.35">
      <c r="A710" t="s">
        <v>3235</v>
      </c>
      <c r="B710" t="str">
        <f>"9781134098354"</f>
        <v>9781134098354</v>
      </c>
      <c r="C710" t="s">
        <v>3238</v>
      </c>
      <c r="D710" t="s">
        <v>3236</v>
      </c>
      <c r="E710" t="s">
        <v>9</v>
      </c>
      <c r="H710" t="s">
        <v>397</v>
      </c>
      <c r="I710" t="s">
        <v>3237</v>
      </c>
    </row>
    <row r="711" spans="1:9" x14ac:dyDescent="0.35">
      <c r="A711" t="s">
        <v>3239</v>
      </c>
      <c r="B711" t="str">
        <f>"9780253007735"</f>
        <v>9780253007735</v>
      </c>
      <c r="C711" t="s">
        <v>3242</v>
      </c>
      <c r="D711" t="s">
        <v>3240</v>
      </c>
      <c r="E711" t="s">
        <v>110</v>
      </c>
      <c r="H711" t="s">
        <v>674</v>
      </c>
      <c r="I711" t="s">
        <v>3241</v>
      </c>
    </row>
    <row r="712" spans="1:9" x14ac:dyDescent="0.35">
      <c r="A712" t="s">
        <v>3243</v>
      </c>
      <c r="B712" t="str">
        <f>"9781136200182"</f>
        <v>9781136200182</v>
      </c>
      <c r="C712" t="s">
        <v>3247</v>
      </c>
      <c r="D712" t="s">
        <v>3245</v>
      </c>
      <c r="E712" t="s">
        <v>9</v>
      </c>
      <c r="F712" t="s">
        <v>3244</v>
      </c>
      <c r="H712" t="s">
        <v>330</v>
      </c>
      <c r="I712" t="s">
        <v>3246</v>
      </c>
    </row>
    <row r="713" spans="1:9" x14ac:dyDescent="0.35">
      <c r="A713" t="s">
        <v>3248</v>
      </c>
      <c r="B713" t="str">
        <f>"9780520943582"</f>
        <v>9780520943582</v>
      </c>
      <c r="C713" t="s">
        <v>3251</v>
      </c>
      <c r="D713" t="s">
        <v>3249</v>
      </c>
      <c r="E713" t="s">
        <v>84</v>
      </c>
      <c r="H713" t="s">
        <v>22</v>
      </c>
      <c r="I713" t="s">
        <v>3250</v>
      </c>
    </row>
    <row r="714" spans="1:9" x14ac:dyDescent="0.35">
      <c r="A714" t="s">
        <v>3252</v>
      </c>
      <c r="B714" t="str">
        <f>"9781780325750"</f>
        <v>9781780325750</v>
      </c>
      <c r="C714" t="s">
        <v>3256</v>
      </c>
      <c r="D714" t="s">
        <v>3254</v>
      </c>
      <c r="E714" t="s">
        <v>493</v>
      </c>
      <c r="F714" t="s">
        <v>3253</v>
      </c>
      <c r="H714" t="s">
        <v>22</v>
      </c>
      <c r="I714" t="s">
        <v>3255</v>
      </c>
    </row>
    <row r="715" spans="1:9" x14ac:dyDescent="0.35">
      <c r="A715" t="s">
        <v>3257</v>
      </c>
      <c r="B715" t="str">
        <f>"9781136730818"</f>
        <v>9781136730818</v>
      </c>
      <c r="C715" t="s">
        <v>3261</v>
      </c>
      <c r="D715" t="s">
        <v>3259</v>
      </c>
      <c r="E715" t="s">
        <v>9</v>
      </c>
      <c r="F715" t="s">
        <v>3258</v>
      </c>
      <c r="H715" t="s">
        <v>209</v>
      </c>
      <c r="I715" t="s">
        <v>3260</v>
      </c>
    </row>
    <row r="716" spans="1:9" x14ac:dyDescent="0.35">
      <c r="A716" t="s">
        <v>3262</v>
      </c>
      <c r="B716" t="str">
        <f>"9781136184291"</f>
        <v>9781136184291</v>
      </c>
      <c r="C716" t="s">
        <v>3267</v>
      </c>
      <c r="D716" t="s">
        <v>3264</v>
      </c>
      <c r="E716" t="s">
        <v>9</v>
      </c>
      <c r="F716" t="s">
        <v>3263</v>
      </c>
      <c r="H716" t="s">
        <v>3265</v>
      </c>
      <c r="I716" t="s">
        <v>3266</v>
      </c>
    </row>
    <row r="717" spans="1:9" x14ac:dyDescent="0.35">
      <c r="A717" t="s">
        <v>3268</v>
      </c>
      <c r="B717" t="str">
        <f>"9780739176436"</f>
        <v>9780739176436</v>
      </c>
      <c r="C717" t="s">
        <v>3271</v>
      </c>
      <c r="D717" t="s">
        <v>3269</v>
      </c>
      <c r="E717" t="s">
        <v>887</v>
      </c>
      <c r="H717" t="s">
        <v>209</v>
      </c>
      <c r="I717" t="s">
        <v>3270</v>
      </c>
    </row>
    <row r="718" spans="1:9" x14ac:dyDescent="0.35">
      <c r="A718" t="s">
        <v>3272</v>
      </c>
      <c r="B718" t="str">
        <f>"9780739178652"</f>
        <v>9780739178652</v>
      </c>
      <c r="C718" t="s">
        <v>3275</v>
      </c>
      <c r="D718" t="s">
        <v>3273</v>
      </c>
      <c r="E718" t="s">
        <v>887</v>
      </c>
      <c r="H718" t="s">
        <v>2974</v>
      </c>
      <c r="I718" t="s">
        <v>3274</v>
      </c>
    </row>
    <row r="719" spans="1:9" x14ac:dyDescent="0.35">
      <c r="A719" t="s">
        <v>3276</v>
      </c>
      <c r="B719" t="str">
        <f>"9789004242920"</f>
        <v>9789004242920</v>
      </c>
      <c r="C719" t="s">
        <v>3279</v>
      </c>
      <c r="D719" t="s">
        <v>3277</v>
      </c>
      <c r="E719" t="s">
        <v>901</v>
      </c>
      <c r="F719" t="s">
        <v>921</v>
      </c>
      <c r="H719" t="s">
        <v>22</v>
      </c>
      <c r="I719" t="s">
        <v>3278</v>
      </c>
    </row>
    <row r="720" spans="1:9" x14ac:dyDescent="0.35">
      <c r="A720" t="s">
        <v>3280</v>
      </c>
      <c r="B720" t="str">
        <f>"9781136268168"</f>
        <v>9781136268168</v>
      </c>
      <c r="C720" t="s">
        <v>3283</v>
      </c>
      <c r="D720" t="s">
        <v>3281</v>
      </c>
      <c r="E720" t="s">
        <v>9</v>
      </c>
      <c r="H720" t="s">
        <v>22</v>
      </c>
      <c r="I720" t="s">
        <v>3282</v>
      </c>
    </row>
    <row r="721" spans="1:9" x14ac:dyDescent="0.35">
      <c r="A721" t="s">
        <v>3284</v>
      </c>
      <c r="B721" t="str">
        <f>"9781135948061"</f>
        <v>9781135948061</v>
      </c>
      <c r="C721" t="s">
        <v>3289</v>
      </c>
      <c r="D721" t="s">
        <v>3286</v>
      </c>
      <c r="E721" t="s">
        <v>9</v>
      </c>
      <c r="F721" t="s">
        <v>3285</v>
      </c>
      <c r="H721" t="s">
        <v>3287</v>
      </c>
      <c r="I721" t="s">
        <v>3288</v>
      </c>
    </row>
    <row r="722" spans="1:9" x14ac:dyDescent="0.35">
      <c r="A722" t="s">
        <v>3290</v>
      </c>
      <c r="B722" t="str">
        <f>"9781317931232"</f>
        <v>9781317931232</v>
      </c>
      <c r="C722" t="s">
        <v>3294</v>
      </c>
      <c r="D722" t="s">
        <v>3292</v>
      </c>
      <c r="E722" t="s">
        <v>9</v>
      </c>
      <c r="F722" t="s">
        <v>3291</v>
      </c>
      <c r="H722" t="s">
        <v>22</v>
      </c>
      <c r="I722" t="s">
        <v>3293</v>
      </c>
    </row>
    <row r="723" spans="1:9" x14ac:dyDescent="0.35">
      <c r="A723" t="s">
        <v>3295</v>
      </c>
      <c r="B723" t="str">
        <f>"9781442223943"</f>
        <v>9781442223943</v>
      </c>
      <c r="C723" t="s">
        <v>3298</v>
      </c>
      <c r="D723" t="s">
        <v>3296</v>
      </c>
      <c r="E723" t="s">
        <v>882</v>
      </c>
      <c r="H723" t="s">
        <v>147</v>
      </c>
      <c r="I723" t="s">
        <v>3297</v>
      </c>
    </row>
    <row r="724" spans="1:9" x14ac:dyDescent="0.35">
      <c r="A724" t="s">
        <v>3299</v>
      </c>
      <c r="B724" t="str">
        <f>"9781780323831"</f>
        <v>9781780323831</v>
      </c>
      <c r="C724" t="s">
        <v>3303</v>
      </c>
      <c r="D724" t="s">
        <v>3301</v>
      </c>
      <c r="E724" t="s">
        <v>493</v>
      </c>
      <c r="F724" t="s">
        <v>3300</v>
      </c>
      <c r="H724" t="s">
        <v>22</v>
      </c>
      <c r="I724" t="s">
        <v>3302</v>
      </c>
    </row>
    <row r="725" spans="1:9" x14ac:dyDescent="0.35">
      <c r="A725" t="s">
        <v>3304</v>
      </c>
      <c r="B725" t="str">
        <f>"9780199982394"</f>
        <v>9780199982394</v>
      </c>
      <c r="C725" t="s">
        <v>3307</v>
      </c>
      <c r="D725" t="s">
        <v>3305</v>
      </c>
      <c r="E725" t="s">
        <v>167</v>
      </c>
      <c r="H725" t="s">
        <v>397</v>
      </c>
      <c r="I725" t="s">
        <v>3306</v>
      </c>
    </row>
    <row r="726" spans="1:9" x14ac:dyDescent="0.35">
      <c r="A726" t="s">
        <v>3308</v>
      </c>
      <c r="B726" t="str">
        <f>"9780702251658"</f>
        <v>9780702251658</v>
      </c>
      <c r="C726" t="s">
        <v>3312</v>
      </c>
      <c r="D726" t="s">
        <v>3310</v>
      </c>
      <c r="E726" t="s">
        <v>3309</v>
      </c>
      <c r="H726" t="s">
        <v>22</v>
      </c>
      <c r="I726" t="s">
        <v>3311</v>
      </c>
    </row>
    <row r="727" spans="1:9" x14ac:dyDescent="0.35">
      <c r="A727" t="s">
        <v>3313</v>
      </c>
      <c r="B727" t="str">
        <f>"9781135122126"</f>
        <v>9781135122126</v>
      </c>
      <c r="C727" t="s">
        <v>3316</v>
      </c>
      <c r="D727" t="s">
        <v>3314</v>
      </c>
      <c r="E727" t="s">
        <v>9</v>
      </c>
      <c r="H727" t="s">
        <v>22</v>
      </c>
      <c r="I727" t="s">
        <v>3315</v>
      </c>
    </row>
    <row r="728" spans="1:9" x14ac:dyDescent="0.35">
      <c r="A728" t="s">
        <v>3317</v>
      </c>
      <c r="B728" t="str">
        <f>"9781136182167"</f>
        <v>9781136182167</v>
      </c>
      <c r="C728" t="s">
        <v>3321</v>
      </c>
      <c r="D728" t="s">
        <v>3319</v>
      </c>
      <c r="E728" t="s">
        <v>9</v>
      </c>
      <c r="F728" t="s">
        <v>3318</v>
      </c>
      <c r="H728" t="s">
        <v>86</v>
      </c>
      <c r="I728" t="s">
        <v>3320</v>
      </c>
    </row>
    <row r="729" spans="1:9" x14ac:dyDescent="0.35">
      <c r="A729" t="s">
        <v>3322</v>
      </c>
      <c r="B729" t="str">
        <f>"9781135022471"</f>
        <v>9781135022471</v>
      </c>
      <c r="C729" t="s">
        <v>3324</v>
      </c>
      <c r="D729" t="s">
        <v>3323</v>
      </c>
      <c r="E729" t="s">
        <v>9</v>
      </c>
      <c r="F729" t="s">
        <v>1408</v>
      </c>
      <c r="H729" t="s">
        <v>22</v>
      </c>
      <c r="I729" t="s">
        <v>2096</v>
      </c>
    </row>
    <row r="730" spans="1:9" x14ac:dyDescent="0.35">
      <c r="A730" t="s">
        <v>3325</v>
      </c>
      <c r="B730" t="str">
        <f>"9780813048482"</f>
        <v>9780813048482</v>
      </c>
      <c r="C730" t="s">
        <v>3328</v>
      </c>
      <c r="D730" t="s">
        <v>3326</v>
      </c>
      <c r="E730" t="s">
        <v>2353</v>
      </c>
      <c r="H730" t="s">
        <v>22</v>
      </c>
      <c r="I730" t="s">
        <v>3327</v>
      </c>
    </row>
    <row r="731" spans="1:9" x14ac:dyDescent="0.35">
      <c r="A731" t="s">
        <v>3329</v>
      </c>
      <c r="B731" t="str">
        <f>"9780804787918"</f>
        <v>9780804787918</v>
      </c>
      <c r="C731" t="s">
        <v>3332</v>
      </c>
      <c r="D731" t="s">
        <v>3330</v>
      </c>
      <c r="E731" t="s">
        <v>1186</v>
      </c>
      <c r="H731" t="s">
        <v>22</v>
      </c>
      <c r="I731" t="s">
        <v>3331</v>
      </c>
    </row>
    <row r="732" spans="1:9" x14ac:dyDescent="0.35">
      <c r="A732" t="s">
        <v>3333</v>
      </c>
      <c r="B732" t="str">
        <f>"9781783201303"</f>
        <v>9781783201303</v>
      </c>
      <c r="C732" t="s">
        <v>3336</v>
      </c>
      <c r="D732" t="s">
        <v>3334</v>
      </c>
      <c r="E732" t="s">
        <v>479</v>
      </c>
      <c r="H732" t="s">
        <v>22</v>
      </c>
      <c r="I732" t="s">
        <v>3335</v>
      </c>
    </row>
    <row r="733" spans="1:9" x14ac:dyDescent="0.35">
      <c r="A733" t="s">
        <v>3337</v>
      </c>
      <c r="B733" t="str">
        <f>"9781443850209"</f>
        <v>9781443850209</v>
      </c>
      <c r="C733" t="s">
        <v>3340</v>
      </c>
      <c r="D733" t="s">
        <v>3338</v>
      </c>
      <c r="E733" t="s">
        <v>2729</v>
      </c>
      <c r="H733" t="s">
        <v>22</v>
      </c>
      <c r="I733" t="s">
        <v>3339</v>
      </c>
    </row>
    <row r="734" spans="1:9" x14ac:dyDescent="0.35">
      <c r="A734" t="s">
        <v>3341</v>
      </c>
      <c r="B734" t="str">
        <f>"9780857459466"</f>
        <v>9780857459466</v>
      </c>
      <c r="C734" t="s">
        <v>3345</v>
      </c>
      <c r="D734" t="s">
        <v>3343</v>
      </c>
      <c r="E734" t="s">
        <v>1700</v>
      </c>
      <c r="F734" t="s">
        <v>3342</v>
      </c>
      <c r="H734" t="s">
        <v>86</v>
      </c>
      <c r="I734" t="s">
        <v>3344</v>
      </c>
    </row>
    <row r="735" spans="1:9" x14ac:dyDescent="0.35">
      <c r="A735" t="s">
        <v>3346</v>
      </c>
      <c r="B735" t="str">
        <f>"9781611323405"</f>
        <v>9781611323405</v>
      </c>
      <c r="C735" t="s">
        <v>3349</v>
      </c>
      <c r="D735" t="s">
        <v>3347</v>
      </c>
      <c r="E735" t="s">
        <v>9</v>
      </c>
      <c r="H735" t="s">
        <v>22</v>
      </c>
      <c r="I735" t="s">
        <v>3348</v>
      </c>
    </row>
    <row r="736" spans="1:9" x14ac:dyDescent="0.35">
      <c r="A736" t="s">
        <v>3350</v>
      </c>
      <c r="B736" t="str">
        <f>"9781461645726"</f>
        <v>9781461645726</v>
      </c>
      <c r="C736" t="s">
        <v>3354</v>
      </c>
      <c r="D736" t="s">
        <v>3352</v>
      </c>
      <c r="E736" t="s">
        <v>882</v>
      </c>
      <c r="F736" t="s">
        <v>3351</v>
      </c>
      <c r="H736" t="s">
        <v>22</v>
      </c>
      <c r="I736" t="s">
        <v>3353</v>
      </c>
    </row>
    <row r="737" spans="1:9" x14ac:dyDescent="0.35">
      <c r="A737" t="s">
        <v>3355</v>
      </c>
      <c r="B737" t="str">
        <f>"9780742581364"</f>
        <v>9780742581364</v>
      </c>
      <c r="C737" t="s">
        <v>3359</v>
      </c>
      <c r="D737" t="s">
        <v>3357</v>
      </c>
      <c r="E737" t="s">
        <v>882</v>
      </c>
      <c r="F737" t="s">
        <v>3356</v>
      </c>
      <c r="H737" t="s">
        <v>22</v>
      </c>
      <c r="I737" t="s">
        <v>3358</v>
      </c>
    </row>
    <row r="738" spans="1:9" x14ac:dyDescent="0.35">
      <c r="A738" t="s">
        <v>3360</v>
      </c>
      <c r="B738" t="str">
        <f>"9780742581401"</f>
        <v>9780742581401</v>
      </c>
      <c r="C738" t="s">
        <v>3363</v>
      </c>
      <c r="D738" t="s">
        <v>3361</v>
      </c>
      <c r="E738" t="s">
        <v>882</v>
      </c>
      <c r="H738" t="s">
        <v>1162</v>
      </c>
      <c r="I738" t="s">
        <v>3362</v>
      </c>
    </row>
    <row r="739" spans="1:9" x14ac:dyDescent="0.35">
      <c r="A739" t="s">
        <v>3364</v>
      </c>
      <c r="B739" t="str">
        <f>"9780739151501"</f>
        <v>9780739151501</v>
      </c>
      <c r="C739" t="s">
        <v>3368</v>
      </c>
      <c r="D739" t="s">
        <v>3366</v>
      </c>
      <c r="E739" t="s">
        <v>887</v>
      </c>
      <c r="F739" t="s">
        <v>3365</v>
      </c>
      <c r="H739" t="s">
        <v>22</v>
      </c>
      <c r="I739" t="s">
        <v>3367</v>
      </c>
    </row>
    <row r="740" spans="1:9" x14ac:dyDescent="0.35">
      <c r="A740" t="s">
        <v>3369</v>
      </c>
      <c r="B740" t="str">
        <f>"9780739159903"</f>
        <v>9780739159903</v>
      </c>
      <c r="C740" t="s">
        <v>3373</v>
      </c>
      <c r="D740" t="s">
        <v>3370</v>
      </c>
      <c r="E740" t="s">
        <v>887</v>
      </c>
      <c r="H740" t="s">
        <v>3371</v>
      </c>
      <c r="I740" t="s">
        <v>3372</v>
      </c>
    </row>
    <row r="741" spans="1:9" x14ac:dyDescent="0.35">
      <c r="A741" t="s">
        <v>3374</v>
      </c>
      <c r="B741" t="str">
        <f>"9780816682485"</f>
        <v>9780816682485</v>
      </c>
      <c r="C741" t="s">
        <v>3377</v>
      </c>
      <c r="D741" t="s">
        <v>3375</v>
      </c>
      <c r="E741" t="s">
        <v>305</v>
      </c>
      <c r="F741" t="s">
        <v>722</v>
      </c>
      <c r="H741" t="s">
        <v>22</v>
      </c>
      <c r="I741" t="s">
        <v>3376</v>
      </c>
    </row>
    <row r="742" spans="1:9" x14ac:dyDescent="0.35">
      <c r="A742" t="s">
        <v>3378</v>
      </c>
      <c r="B742" t="str">
        <f>"9780816686674"</f>
        <v>9780816686674</v>
      </c>
      <c r="C742" t="s">
        <v>3381</v>
      </c>
      <c r="D742" t="s">
        <v>3379</v>
      </c>
      <c r="E742" t="s">
        <v>305</v>
      </c>
      <c r="H742" t="s">
        <v>22</v>
      </c>
      <c r="I742" t="s">
        <v>3380</v>
      </c>
    </row>
    <row r="743" spans="1:9" x14ac:dyDescent="0.35">
      <c r="A743" t="s">
        <v>3382</v>
      </c>
      <c r="B743" t="str">
        <f>"9789004256668"</f>
        <v>9789004256668</v>
      </c>
      <c r="C743" t="s">
        <v>3386</v>
      </c>
      <c r="D743" t="s">
        <v>3384</v>
      </c>
      <c r="E743" t="s">
        <v>901</v>
      </c>
      <c r="F743" t="s">
        <v>3383</v>
      </c>
      <c r="H743" t="s">
        <v>75</v>
      </c>
      <c r="I743" t="s">
        <v>3385</v>
      </c>
    </row>
    <row r="744" spans="1:9" x14ac:dyDescent="0.35">
      <c r="A744" t="s">
        <v>3387</v>
      </c>
      <c r="B744" t="str">
        <f>"9781442222359"</f>
        <v>9781442222359</v>
      </c>
      <c r="C744" t="s">
        <v>3391</v>
      </c>
      <c r="D744" t="s">
        <v>3389</v>
      </c>
      <c r="E744" t="s">
        <v>882</v>
      </c>
      <c r="F744" t="s">
        <v>3388</v>
      </c>
      <c r="H744" t="s">
        <v>153</v>
      </c>
      <c r="I744" t="s">
        <v>3390</v>
      </c>
    </row>
    <row r="745" spans="1:9" x14ac:dyDescent="0.35">
      <c r="A745" t="s">
        <v>3392</v>
      </c>
      <c r="B745" t="str">
        <f>"9780520957978"</f>
        <v>9780520957978</v>
      </c>
      <c r="C745" t="s">
        <v>3396</v>
      </c>
      <c r="D745" t="s">
        <v>3393</v>
      </c>
      <c r="E745" t="s">
        <v>84</v>
      </c>
      <c r="H745" t="s">
        <v>3394</v>
      </c>
      <c r="I745" t="s">
        <v>3395</v>
      </c>
    </row>
    <row r="746" spans="1:9" x14ac:dyDescent="0.35">
      <c r="A746" t="s">
        <v>3397</v>
      </c>
      <c r="B746" t="str">
        <f>"9781134454532"</f>
        <v>9781134454532</v>
      </c>
      <c r="C746" t="s">
        <v>3400</v>
      </c>
      <c r="D746" t="s">
        <v>3398</v>
      </c>
      <c r="E746" t="s">
        <v>9</v>
      </c>
      <c r="H746" t="s">
        <v>38</v>
      </c>
      <c r="I746" t="s">
        <v>3399</v>
      </c>
    </row>
    <row r="747" spans="1:9" x14ac:dyDescent="0.35">
      <c r="A747" t="s">
        <v>3401</v>
      </c>
      <c r="B747" t="str">
        <f>"9780826353962"</f>
        <v>9780826353962</v>
      </c>
      <c r="C747" t="s">
        <v>3404</v>
      </c>
      <c r="D747" t="s">
        <v>3402</v>
      </c>
      <c r="E747" t="s">
        <v>2830</v>
      </c>
      <c r="H747" t="s">
        <v>22</v>
      </c>
      <c r="I747" t="s">
        <v>3403</v>
      </c>
    </row>
    <row r="748" spans="1:9" x14ac:dyDescent="0.35">
      <c r="A748" t="s">
        <v>3405</v>
      </c>
      <c r="B748" t="str">
        <f>"9781135083601"</f>
        <v>9781135083601</v>
      </c>
      <c r="C748" t="s">
        <v>3408</v>
      </c>
      <c r="D748" t="s">
        <v>3406</v>
      </c>
      <c r="E748" t="s">
        <v>9</v>
      </c>
      <c r="F748" t="s">
        <v>2379</v>
      </c>
      <c r="H748" t="s">
        <v>22</v>
      </c>
      <c r="I748" t="s">
        <v>3407</v>
      </c>
    </row>
    <row r="749" spans="1:9" x14ac:dyDescent="0.35">
      <c r="A749" t="s">
        <v>3409</v>
      </c>
      <c r="B749" t="str">
        <f>"9781472412959"</f>
        <v>9781472412959</v>
      </c>
      <c r="C749" t="s">
        <v>3412</v>
      </c>
      <c r="D749" t="s">
        <v>3410</v>
      </c>
      <c r="E749" t="s">
        <v>9</v>
      </c>
      <c r="H749" t="s">
        <v>22</v>
      </c>
      <c r="I749" t="s">
        <v>3411</v>
      </c>
    </row>
    <row r="750" spans="1:9" x14ac:dyDescent="0.35">
      <c r="A750" t="s">
        <v>3413</v>
      </c>
      <c r="B750" t="str">
        <f>"9781472521231"</f>
        <v>9781472521231</v>
      </c>
      <c r="C750" t="s">
        <v>3417</v>
      </c>
      <c r="D750" t="s">
        <v>3415</v>
      </c>
      <c r="E750" t="s">
        <v>629</v>
      </c>
      <c r="F750" t="s">
        <v>3414</v>
      </c>
      <c r="H750" t="s">
        <v>147</v>
      </c>
      <c r="I750" t="s">
        <v>3416</v>
      </c>
    </row>
    <row r="751" spans="1:9" x14ac:dyDescent="0.35">
      <c r="A751" t="s">
        <v>3418</v>
      </c>
      <c r="B751" t="str">
        <f>"9780810874688"</f>
        <v>9780810874688</v>
      </c>
      <c r="C751" t="s">
        <v>3422</v>
      </c>
      <c r="D751" t="s">
        <v>3420</v>
      </c>
      <c r="E751" t="s">
        <v>1060</v>
      </c>
      <c r="F751" t="s">
        <v>3419</v>
      </c>
      <c r="H751" t="s">
        <v>22</v>
      </c>
      <c r="I751" t="s">
        <v>3421</v>
      </c>
    </row>
    <row r="752" spans="1:9" x14ac:dyDescent="0.35">
      <c r="A752" t="s">
        <v>3423</v>
      </c>
      <c r="B752" t="str">
        <f>"9781780232034"</f>
        <v>9781780232034</v>
      </c>
      <c r="C752" t="s">
        <v>3426</v>
      </c>
      <c r="D752" t="s">
        <v>3424</v>
      </c>
      <c r="E752" t="s">
        <v>2043</v>
      </c>
      <c r="H752" t="s">
        <v>22</v>
      </c>
      <c r="I752" t="s">
        <v>3425</v>
      </c>
    </row>
    <row r="753" spans="1:9" x14ac:dyDescent="0.35">
      <c r="A753" t="s">
        <v>3427</v>
      </c>
      <c r="B753" t="str">
        <f>"9781135891367"</f>
        <v>9781135891367</v>
      </c>
      <c r="C753" t="s">
        <v>3430</v>
      </c>
      <c r="D753" t="s">
        <v>3428</v>
      </c>
      <c r="E753" t="s">
        <v>9</v>
      </c>
      <c r="H753" t="s">
        <v>330</v>
      </c>
      <c r="I753" t="s">
        <v>3429</v>
      </c>
    </row>
    <row r="754" spans="1:9" x14ac:dyDescent="0.35">
      <c r="A754" t="s">
        <v>3431</v>
      </c>
      <c r="B754" t="str">
        <f>"9781466511453"</f>
        <v>9781466511453</v>
      </c>
      <c r="C754" t="s">
        <v>3434</v>
      </c>
      <c r="D754" t="s">
        <v>3432</v>
      </c>
      <c r="E754" t="s">
        <v>9</v>
      </c>
      <c r="H754" t="s">
        <v>22</v>
      </c>
      <c r="I754" t="s">
        <v>3433</v>
      </c>
    </row>
    <row r="755" spans="1:9" x14ac:dyDescent="0.35">
      <c r="A755" t="s">
        <v>3435</v>
      </c>
      <c r="B755" t="str">
        <f>"9781443853217"</f>
        <v>9781443853217</v>
      </c>
      <c r="C755" t="s">
        <v>3438</v>
      </c>
      <c r="D755" t="s">
        <v>3436</v>
      </c>
      <c r="E755" t="s">
        <v>2729</v>
      </c>
      <c r="H755" t="s">
        <v>2740</v>
      </c>
      <c r="I755" t="s">
        <v>3437</v>
      </c>
    </row>
    <row r="756" spans="1:9" x14ac:dyDescent="0.35">
      <c r="A756" t="s">
        <v>3439</v>
      </c>
      <c r="B756" t="str">
        <f>"9780199927548"</f>
        <v>9780199927548</v>
      </c>
      <c r="C756" t="s">
        <v>3443</v>
      </c>
      <c r="D756" t="s">
        <v>3440</v>
      </c>
      <c r="E756" t="s">
        <v>167</v>
      </c>
      <c r="H756" t="s">
        <v>3441</v>
      </c>
      <c r="I756" t="s">
        <v>3442</v>
      </c>
    </row>
    <row r="757" spans="1:9" x14ac:dyDescent="0.35">
      <c r="A757" t="s">
        <v>3444</v>
      </c>
      <c r="B757" t="str">
        <f>"9789004258082"</f>
        <v>9789004258082</v>
      </c>
      <c r="C757" t="s">
        <v>3447</v>
      </c>
      <c r="D757" t="s">
        <v>3445</v>
      </c>
      <c r="E757" t="s">
        <v>901</v>
      </c>
      <c r="F757" t="s">
        <v>3075</v>
      </c>
      <c r="H757" t="s">
        <v>22</v>
      </c>
      <c r="I757" t="s">
        <v>3446</v>
      </c>
    </row>
    <row r="758" spans="1:9" x14ac:dyDescent="0.35">
      <c r="A758" t="s">
        <v>3448</v>
      </c>
      <c r="B758" t="str">
        <f>"9781136684050"</f>
        <v>9781136684050</v>
      </c>
      <c r="C758" t="s">
        <v>3452</v>
      </c>
      <c r="D758" t="s">
        <v>3450</v>
      </c>
      <c r="E758" t="s">
        <v>9</v>
      </c>
      <c r="F758" t="s">
        <v>3449</v>
      </c>
      <c r="H758" t="s">
        <v>531</v>
      </c>
      <c r="I758" t="s">
        <v>3451</v>
      </c>
    </row>
    <row r="759" spans="1:9" x14ac:dyDescent="0.35">
      <c r="A759" t="s">
        <v>3453</v>
      </c>
      <c r="B759" t="str">
        <f>"9781400843589"</f>
        <v>9781400843589</v>
      </c>
      <c r="C759" t="s">
        <v>3456</v>
      </c>
      <c r="D759" t="s">
        <v>3454</v>
      </c>
      <c r="E759" t="s">
        <v>858</v>
      </c>
      <c r="H759" t="s">
        <v>22</v>
      </c>
      <c r="I759" t="s">
        <v>3455</v>
      </c>
    </row>
    <row r="760" spans="1:9" x14ac:dyDescent="0.35">
      <c r="A760" t="s">
        <v>3457</v>
      </c>
      <c r="B760" t="str">
        <f>"9781400850600"</f>
        <v>9781400850600</v>
      </c>
      <c r="C760" t="s">
        <v>3462</v>
      </c>
      <c r="D760" t="s">
        <v>3459</v>
      </c>
      <c r="E760" t="s">
        <v>858</v>
      </c>
      <c r="F760" t="s">
        <v>3458</v>
      </c>
      <c r="H760" t="s">
        <v>3460</v>
      </c>
      <c r="I760" t="s">
        <v>3461</v>
      </c>
    </row>
    <row r="761" spans="1:9" x14ac:dyDescent="0.35">
      <c r="A761" t="s">
        <v>3463</v>
      </c>
      <c r="B761" t="str">
        <f>"9780739181881"</f>
        <v>9780739181881</v>
      </c>
      <c r="C761" t="s">
        <v>3466</v>
      </c>
      <c r="D761" t="s">
        <v>3464</v>
      </c>
      <c r="E761" t="s">
        <v>887</v>
      </c>
      <c r="H761" t="s">
        <v>22</v>
      </c>
      <c r="I761" t="s">
        <v>3465</v>
      </c>
    </row>
    <row r="762" spans="1:9" x14ac:dyDescent="0.35">
      <c r="A762" t="s">
        <v>3467</v>
      </c>
      <c r="B762" t="str">
        <f>"9781617751783"</f>
        <v>9781617751783</v>
      </c>
      <c r="C762" t="s">
        <v>3471</v>
      </c>
      <c r="D762" t="s">
        <v>3469</v>
      </c>
      <c r="E762" t="s">
        <v>3468</v>
      </c>
      <c r="H762" t="s">
        <v>275</v>
      </c>
      <c r="I762" t="s">
        <v>3470</v>
      </c>
    </row>
    <row r="763" spans="1:9" x14ac:dyDescent="0.35">
      <c r="A763" t="s">
        <v>3472</v>
      </c>
      <c r="B763" t="str">
        <f>"9781107248427"</f>
        <v>9781107248427</v>
      </c>
      <c r="C763" t="s">
        <v>3475</v>
      </c>
      <c r="D763" t="s">
        <v>3473</v>
      </c>
      <c r="E763" t="s">
        <v>390</v>
      </c>
      <c r="H763" t="s">
        <v>397</v>
      </c>
      <c r="I763" t="s">
        <v>3474</v>
      </c>
    </row>
    <row r="764" spans="1:9" x14ac:dyDescent="0.35">
      <c r="A764" t="s">
        <v>3476</v>
      </c>
      <c r="B764" t="str">
        <f>"9780803248700"</f>
        <v>9780803248700</v>
      </c>
      <c r="C764" t="s">
        <v>3479</v>
      </c>
      <c r="D764" t="s">
        <v>3477</v>
      </c>
      <c r="E764" t="s">
        <v>2879</v>
      </c>
      <c r="F764" t="s">
        <v>2338</v>
      </c>
      <c r="H764" t="s">
        <v>64</v>
      </c>
      <c r="I764" t="s">
        <v>3478</v>
      </c>
    </row>
    <row r="765" spans="1:9" x14ac:dyDescent="0.35">
      <c r="A765" t="s">
        <v>3480</v>
      </c>
      <c r="B765" t="str">
        <f>"9780813561059"</f>
        <v>9780813561059</v>
      </c>
      <c r="C765" t="s">
        <v>3483</v>
      </c>
      <c r="D765" t="s">
        <v>3481</v>
      </c>
      <c r="E765" t="s">
        <v>366</v>
      </c>
      <c r="H765" t="s">
        <v>86</v>
      </c>
      <c r="I765" t="s">
        <v>3482</v>
      </c>
    </row>
    <row r="766" spans="1:9" x14ac:dyDescent="0.35">
      <c r="A766" t="s">
        <v>3484</v>
      </c>
      <c r="B766" t="str">
        <f>"9780813561974"</f>
        <v>9780813561974</v>
      </c>
      <c r="C766" t="s">
        <v>3488</v>
      </c>
      <c r="D766" t="s">
        <v>3486</v>
      </c>
      <c r="E766" t="s">
        <v>366</v>
      </c>
      <c r="F766" t="s">
        <v>3485</v>
      </c>
      <c r="H766" t="s">
        <v>22</v>
      </c>
      <c r="I766" t="s">
        <v>3487</v>
      </c>
    </row>
    <row r="767" spans="1:9" x14ac:dyDescent="0.35">
      <c r="A767" t="s">
        <v>3489</v>
      </c>
      <c r="B767" t="str">
        <f>"9780813562230"</f>
        <v>9780813562230</v>
      </c>
      <c r="C767" t="s">
        <v>3492</v>
      </c>
      <c r="D767" t="s">
        <v>3490</v>
      </c>
      <c r="E767" t="s">
        <v>366</v>
      </c>
      <c r="F767" t="s">
        <v>3485</v>
      </c>
      <c r="H767" t="s">
        <v>22</v>
      </c>
      <c r="I767" t="s">
        <v>3491</v>
      </c>
    </row>
    <row r="768" spans="1:9" x14ac:dyDescent="0.35">
      <c r="A768" t="s">
        <v>3493</v>
      </c>
      <c r="B768" t="str">
        <f>"9780739180358"</f>
        <v>9780739180358</v>
      </c>
      <c r="C768" t="s">
        <v>3496</v>
      </c>
      <c r="D768" t="s">
        <v>3494</v>
      </c>
      <c r="E768" t="s">
        <v>887</v>
      </c>
      <c r="H768" t="s">
        <v>22</v>
      </c>
      <c r="I768" t="s">
        <v>3495</v>
      </c>
    </row>
    <row r="769" spans="1:9" x14ac:dyDescent="0.35">
      <c r="A769" t="s">
        <v>3497</v>
      </c>
      <c r="B769" t="str">
        <f>"9781118610664"</f>
        <v>9781118610664</v>
      </c>
      <c r="C769" t="s">
        <v>3501</v>
      </c>
      <c r="D769" t="s">
        <v>3499</v>
      </c>
      <c r="E769" t="s">
        <v>444</v>
      </c>
      <c r="F769" t="s">
        <v>3498</v>
      </c>
      <c r="H769" t="s">
        <v>147</v>
      </c>
      <c r="I769" t="s">
        <v>3500</v>
      </c>
    </row>
    <row r="770" spans="1:9" x14ac:dyDescent="0.35">
      <c r="A770" t="s">
        <v>3502</v>
      </c>
      <c r="B770" t="str">
        <f>"9781400844050"</f>
        <v>9781400844050</v>
      </c>
      <c r="C770" t="s">
        <v>3505</v>
      </c>
      <c r="D770" t="s">
        <v>3503</v>
      </c>
      <c r="E770" t="s">
        <v>858</v>
      </c>
      <c r="H770" t="s">
        <v>22</v>
      </c>
      <c r="I770" t="s">
        <v>3504</v>
      </c>
    </row>
    <row r="771" spans="1:9" x14ac:dyDescent="0.35">
      <c r="A771" t="s">
        <v>3506</v>
      </c>
      <c r="B771" t="str">
        <f>"9781593327439"</f>
        <v>9781593327439</v>
      </c>
      <c r="C771" t="s">
        <v>3510</v>
      </c>
      <c r="D771" t="s">
        <v>3508</v>
      </c>
      <c r="E771" t="s">
        <v>2014</v>
      </c>
      <c r="F771" t="s">
        <v>3507</v>
      </c>
      <c r="H771" t="s">
        <v>75</v>
      </c>
      <c r="I771" t="s">
        <v>3509</v>
      </c>
    </row>
    <row r="772" spans="1:9" x14ac:dyDescent="0.35">
      <c r="A772" t="s">
        <v>3511</v>
      </c>
      <c r="B772" t="str">
        <f>"9780199830442"</f>
        <v>9780199830442</v>
      </c>
      <c r="C772" t="s">
        <v>3514</v>
      </c>
      <c r="D772" t="s">
        <v>3512</v>
      </c>
      <c r="E772" t="s">
        <v>167</v>
      </c>
      <c r="H772" t="s">
        <v>86</v>
      </c>
      <c r="I772" t="s">
        <v>3513</v>
      </c>
    </row>
    <row r="773" spans="1:9" x14ac:dyDescent="0.35">
      <c r="A773" t="s">
        <v>3515</v>
      </c>
      <c r="B773" t="str">
        <f>"9781442222960"</f>
        <v>9781442222960</v>
      </c>
      <c r="C773" t="s">
        <v>3518</v>
      </c>
      <c r="D773" t="s">
        <v>3516</v>
      </c>
      <c r="E773" t="s">
        <v>882</v>
      </c>
      <c r="H773" t="s">
        <v>22</v>
      </c>
      <c r="I773" t="s">
        <v>3517</v>
      </c>
    </row>
    <row r="774" spans="1:9" x14ac:dyDescent="0.35">
      <c r="A774" t="s">
        <v>3519</v>
      </c>
      <c r="B774" t="str">
        <f>"9789004264915"</f>
        <v>9789004264915</v>
      </c>
      <c r="C774" t="s">
        <v>3522</v>
      </c>
      <c r="D774" t="s">
        <v>3520</v>
      </c>
      <c r="E774" t="s">
        <v>901</v>
      </c>
      <c r="F774" t="s">
        <v>1367</v>
      </c>
      <c r="H774" t="s">
        <v>22</v>
      </c>
      <c r="I774" t="s">
        <v>3521</v>
      </c>
    </row>
    <row r="775" spans="1:9" x14ac:dyDescent="0.35">
      <c r="A775" t="s">
        <v>3523</v>
      </c>
      <c r="B775" t="str">
        <f>"9780813048994"</f>
        <v>9780813048994</v>
      </c>
      <c r="C775" t="s">
        <v>3526</v>
      </c>
      <c r="D775" t="s">
        <v>3524</v>
      </c>
      <c r="E775" t="s">
        <v>2353</v>
      </c>
      <c r="H775" t="s">
        <v>147</v>
      </c>
      <c r="I775" t="s">
        <v>3525</v>
      </c>
    </row>
    <row r="776" spans="1:9" x14ac:dyDescent="0.35">
      <c r="A776" t="s">
        <v>3527</v>
      </c>
      <c r="B776" t="str">
        <f>"9780199972241"</f>
        <v>9780199972241</v>
      </c>
      <c r="C776" t="s">
        <v>3530</v>
      </c>
      <c r="D776" t="s">
        <v>3528</v>
      </c>
      <c r="E776" t="s">
        <v>167</v>
      </c>
      <c r="H776" t="s">
        <v>330</v>
      </c>
      <c r="I776" t="s">
        <v>3529</v>
      </c>
    </row>
    <row r="777" spans="1:9" x14ac:dyDescent="0.35">
      <c r="A777" t="s">
        <v>3531</v>
      </c>
      <c r="B777" t="str">
        <f>"9781782384380"</f>
        <v>9781782384380</v>
      </c>
      <c r="C777" t="s">
        <v>3534</v>
      </c>
      <c r="D777" t="s">
        <v>3532</v>
      </c>
      <c r="E777" t="s">
        <v>1700</v>
      </c>
      <c r="F777" t="s">
        <v>1774</v>
      </c>
      <c r="H777" t="s">
        <v>22</v>
      </c>
      <c r="I777" t="s">
        <v>3533</v>
      </c>
    </row>
    <row r="778" spans="1:9" x14ac:dyDescent="0.35">
      <c r="A778" t="s">
        <v>3535</v>
      </c>
      <c r="B778" t="str">
        <f>"9780199843800"</f>
        <v>9780199843800</v>
      </c>
      <c r="C778" t="s">
        <v>3539</v>
      </c>
      <c r="D778" t="s">
        <v>3537</v>
      </c>
      <c r="E778" t="s">
        <v>167</v>
      </c>
      <c r="F778" t="s">
        <v>3536</v>
      </c>
      <c r="H778" t="s">
        <v>392</v>
      </c>
      <c r="I778" t="s">
        <v>3538</v>
      </c>
    </row>
    <row r="779" spans="1:9" x14ac:dyDescent="0.35">
      <c r="A779" t="s">
        <v>3540</v>
      </c>
      <c r="B779" t="str">
        <f>"9781442229709"</f>
        <v>9781442229709</v>
      </c>
      <c r="C779" t="s">
        <v>3543</v>
      </c>
      <c r="D779" t="s">
        <v>3541</v>
      </c>
      <c r="E779" t="s">
        <v>882</v>
      </c>
      <c r="H779" t="s">
        <v>751</v>
      </c>
      <c r="I779" t="s">
        <v>3542</v>
      </c>
    </row>
    <row r="780" spans="1:9" x14ac:dyDescent="0.35">
      <c r="A780" t="s">
        <v>3544</v>
      </c>
      <c r="B780" t="str">
        <f>"9780739178676"</f>
        <v>9780739178676</v>
      </c>
      <c r="C780" t="s">
        <v>3547</v>
      </c>
      <c r="D780" t="s">
        <v>3545</v>
      </c>
      <c r="E780" t="s">
        <v>887</v>
      </c>
      <c r="H780" t="s">
        <v>22</v>
      </c>
      <c r="I780" t="s">
        <v>3546</v>
      </c>
    </row>
    <row r="781" spans="1:9" x14ac:dyDescent="0.35">
      <c r="A781" t="s">
        <v>3548</v>
      </c>
      <c r="B781" t="str">
        <f>"9781136499494"</f>
        <v>9781136499494</v>
      </c>
      <c r="C781" t="s">
        <v>3551</v>
      </c>
      <c r="D781" t="s">
        <v>3549</v>
      </c>
      <c r="E781" t="s">
        <v>9</v>
      </c>
      <c r="H781" t="s">
        <v>22</v>
      </c>
      <c r="I781" t="s">
        <v>3550</v>
      </c>
    </row>
    <row r="782" spans="1:9" x14ac:dyDescent="0.35">
      <c r="A782" t="s">
        <v>3552</v>
      </c>
      <c r="B782" t="str">
        <f>"9781135456528"</f>
        <v>9781135456528</v>
      </c>
      <c r="C782" t="s">
        <v>3556</v>
      </c>
      <c r="D782" t="s">
        <v>3554</v>
      </c>
      <c r="E782" t="s">
        <v>9</v>
      </c>
      <c r="F782" t="s">
        <v>3553</v>
      </c>
      <c r="H782" t="s">
        <v>170</v>
      </c>
      <c r="I782" t="s">
        <v>3555</v>
      </c>
    </row>
    <row r="783" spans="1:9" x14ac:dyDescent="0.35">
      <c r="A783" t="s">
        <v>3557</v>
      </c>
      <c r="B783" t="str">
        <f>"9781617975028"</f>
        <v>9781617975028</v>
      </c>
      <c r="C783" t="s">
        <v>3561</v>
      </c>
      <c r="D783" t="s">
        <v>3559</v>
      </c>
      <c r="E783" t="s">
        <v>3558</v>
      </c>
      <c r="H783" t="s">
        <v>377</v>
      </c>
      <c r="I783" t="s">
        <v>3560</v>
      </c>
    </row>
    <row r="784" spans="1:9" x14ac:dyDescent="0.35">
      <c r="A784" t="s">
        <v>3562</v>
      </c>
      <c r="B784" t="str">
        <f>"9781442222762"</f>
        <v>9781442222762</v>
      </c>
      <c r="C784" t="s">
        <v>3565</v>
      </c>
      <c r="D784" t="s">
        <v>3563</v>
      </c>
      <c r="E784" t="s">
        <v>882</v>
      </c>
      <c r="H784" t="s">
        <v>70</v>
      </c>
      <c r="I784" t="s">
        <v>3564</v>
      </c>
    </row>
    <row r="785" spans="1:9" x14ac:dyDescent="0.35">
      <c r="A785" t="s">
        <v>3566</v>
      </c>
      <c r="B785" t="str">
        <f>"9781317766346"</f>
        <v>9781317766346</v>
      </c>
      <c r="C785" t="s">
        <v>3569</v>
      </c>
      <c r="D785" t="s">
        <v>3567</v>
      </c>
      <c r="E785" t="s">
        <v>9</v>
      </c>
      <c r="H785" t="s">
        <v>22</v>
      </c>
      <c r="I785" t="s">
        <v>3568</v>
      </c>
    </row>
    <row r="786" spans="1:9" x14ac:dyDescent="0.35">
      <c r="A786" t="s">
        <v>3570</v>
      </c>
      <c r="B786" t="str">
        <f>"9781472420473"</f>
        <v>9781472420473</v>
      </c>
      <c r="C786" t="s">
        <v>3575</v>
      </c>
      <c r="D786" t="s">
        <v>3572</v>
      </c>
      <c r="E786" t="s">
        <v>9</v>
      </c>
      <c r="F786" t="s">
        <v>3571</v>
      </c>
      <c r="H786" t="s">
        <v>3573</v>
      </c>
      <c r="I786" t="s">
        <v>3574</v>
      </c>
    </row>
    <row r="787" spans="1:9" x14ac:dyDescent="0.35">
      <c r="A787" t="s">
        <v>3576</v>
      </c>
      <c r="B787" t="str">
        <f>"9780804790833"</f>
        <v>9780804790833</v>
      </c>
      <c r="C787" t="s">
        <v>3579</v>
      </c>
      <c r="D787" t="s">
        <v>3577</v>
      </c>
      <c r="E787" t="s">
        <v>1186</v>
      </c>
      <c r="H787" t="s">
        <v>22</v>
      </c>
      <c r="I787" t="s">
        <v>3578</v>
      </c>
    </row>
    <row r="788" spans="1:9" x14ac:dyDescent="0.35">
      <c r="A788" t="s">
        <v>3580</v>
      </c>
      <c r="B788" t="str">
        <f>"9780520958340"</f>
        <v>9780520958340</v>
      </c>
      <c r="C788" t="s">
        <v>3582</v>
      </c>
      <c r="D788" t="s">
        <v>85</v>
      </c>
      <c r="E788" t="s">
        <v>84</v>
      </c>
      <c r="H788" t="s">
        <v>86</v>
      </c>
      <c r="I788" t="s">
        <v>3581</v>
      </c>
    </row>
    <row r="789" spans="1:9" x14ac:dyDescent="0.35">
      <c r="A789" t="s">
        <v>3583</v>
      </c>
      <c r="B789" t="str">
        <f>"9781118584293"</f>
        <v>9781118584293</v>
      </c>
      <c r="C789" t="s">
        <v>3587</v>
      </c>
      <c r="D789" t="s">
        <v>3585</v>
      </c>
      <c r="E789" t="s">
        <v>444</v>
      </c>
      <c r="F789" t="s">
        <v>3584</v>
      </c>
      <c r="H789" t="s">
        <v>470</v>
      </c>
      <c r="I789" t="s">
        <v>3586</v>
      </c>
    </row>
    <row r="790" spans="1:9" x14ac:dyDescent="0.35">
      <c r="A790" t="s">
        <v>3588</v>
      </c>
      <c r="B790" t="str">
        <f>"9780813563695"</f>
        <v>9780813563695</v>
      </c>
      <c r="C790" t="s">
        <v>3591</v>
      </c>
      <c r="D790" t="s">
        <v>3589</v>
      </c>
      <c r="E790" t="s">
        <v>366</v>
      </c>
      <c r="H790" t="s">
        <v>64</v>
      </c>
      <c r="I790" t="s">
        <v>3590</v>
      </c>
    </row>
    <row r="791" spans="1:9" x14ac:dyDescent="0.35">
      <c r="A791" t="s">
        <v>3592</v>
      </c>
      <c r="B791" t="str">
        <f>"9781409465430"</f>
        <v>9781409465430</v>
      </c>
      <c r="C791" t="s">
        <v>3595</v>
      </c>
      <c r="D791" t="s">
        <v>3593</v>
      </c>
      <c r="E791" t="s">
        <v>9</v>
      </c>
      <c r="F791" t="s">
        <v>759</v>
      </c>
      <c r="H791" t="s">
        <v>22</v>
      </c>
      <c r="I791" t="s">
        <v>3594</v>
      </c>
    </row>
    <row r="792" spans="1:9" x14ac:dyDescent="0.35">
      <c r="A792" t="s">
        <v>3596</v>
      </c>
      <c r="B792" t="str">
        <f>"9780199335442"</f>
        <v>9780199335442</v>
      </c>
      <c r="C792" t="s">
        <v>3599</v>
      </c>
      <c r="D792" t="s">
        <v>3597</v>
      </c>
      <c r="E792" t="s">
        <v>167</v>
      </c>
      <c r="H792" t="s">
        <v>22</v>
      </c>
      <c r="I792" t="s">
        <v>3598</v>
      </c>
    </row>
    <row r="793" spans="1:9" x14ac:dyDescent="0.35">
      <c r="A793" t="s">
        <v>3600</v>
      </c>
      <c r="B793" t="str">
        <f>"9781452941172"</f>
        <v>9781452941172</v>
      </c>
      <c r="C793" t="s">
        <v>3603</v>
      </c>
      <c r="D793" t="s">
        <v>3601</v>
      </c>
      <c r="E793" t="s">
        <v>305</v>
      </c>
      <c r="H793" t="s">
        <v>22</v>
      </c>
      <c r="I793" t="s">
        <v>3602</v>
      </c>
    </row>
    <row r="794" spans="1:9" x14ac:dyDescent="0.35">
      <c r="A794" t="s">
        <v>3604</v>
      </c>
      <c r="B794" t="str">
        <f>"9783110339109"</f>
        <v>9783110339109</v>
      </c>
      <c r="C794" t="s">
        <v>3609</v>
      </c>
      <c r="D794" t="s">
        <v>3607</v>
      </c>
      <c r="E794" t="s">
        <v>3605</v>
      </c>
      <c r="F794" t="s">
        <v>3606</v>
      </c>
      <c r="H794" t="s">
        <v>38</v>
      </c>
      <c r="I794" t="s">
        <v>3608</v>
      </c>
    </row>
    <row r="795" spans="1:9" x14ac:dyDescent="0.35">
      <c r="A795" t="s">
        <v>3610</v>
      </c>
      <c r="B795" t="str">
        <f>"9780739187036"</f>
        <v>9780739187036</v>
      </c>
      <c r="C795" t="s">
        <v>3613</v>
      </c>
      <c r="D795" t="s">
        <v>3611</v>
      </c>
      <c r="E795" t="s">
        <v>887</v>
      </c>
      <c r="H795" t="s">
        <v>138</v>
      </c>
      <c r="I795" t="s">
        <v>3612</v>
      </c>
    </row>
    <row r="796" spans="1:9" x14ac:dyDescent="0.35">
      <c r="A796" t="s">
        <v>3439</v>
      </c>
      <c r="B796" t="str">
        <f>"9780199720064"</f>
        <v>9780199720064</v>
      </c>
      <c r="C796" t="s">
        <v>3616</v>
      </c>
      <c r="D796" t="s">
        <v>3440</v>
      </c>
      <c r="E796" t="s">
        <v>167</v>
      </c>
      <c r="H796" t="s">
        <v>3614</v>
      </c>
      <c r="I796" t="s">
        <v>3615</v>
      </c>
    </row>
    <row r="797" spans="1:9" x14ac:dyDescent="0.35">
      <c r="A797" t="s">
        <v>3617</v>
      </c>
      <c r="B797" t="str">
        <f>"9781317712619"</f>
        <v>9781317712619</v>
      </c>
      <c r="C797" t="s">
        <v>3620</v>
      </c>
      <c r="D797" t="s">
        <v>3618</v>
      </c>
      <c r="E797" t="s">
        <v>9</v>
      </c>
      <c r="H797" t="s">
        <v>22</v>
      </c>
      <c r="I797" t="s">
        <v>3619</v>
      </c>
    </row>
    <row r="798" spans="1:9" x14ac:dyDescent="0.35">
      <c r="A798" t="s">
        <v>3621</v>
      </c>
      <c r="B798" t="str">
        <f>"9781317712824"</f>
        <v>9781317712824</v>
      </c>
      <c r="C798" t="s">
        <v>3624</v>
      </c>
      <c r="D798" t="s">
        <v>3622</v>
      </c>
      <c r="E798" t="s">
        <v>9</v>
      </c>
      <c r="H798" t="s">
        <v>163</v>
      </c>
      <c r="I798" t="s">
        <v>3623</v>
      </c>
    </row>
    <row r="799" spans="1:9" x14ac:dyDescent="0.35">
      <c r="A799" t="s">
        <v>3625</v>
      </c>
      <c r="B799" t="str">
        <f>"9781400850174"</f>
        <v>9781400850174</v>
      </c>
      <c r="C799" t="s">
        <v>3629</v>
      </c>
      <c r="D799" t="s">
        <v>3627</v>
      </c>
      <c r="E799" t="s">
        <v>858</v>
      </c>
      <c r="F799" t="s">
        <v>3626</v>
      </c>
      <c r="H799" t="s">
        <v>22</v>
      </c>
      <c r="I799" t="s">
        <v>3628</v>
      </c>
    </row>
    <row r="800" spans="1:9" x14ac:dyDescent="0.35">
      <c r="A800" t="s">
        <v>3630</v>
      </c>
      <c r="B800" t="str">
        <f>"9780253012326"</f>
        <v>9780253012326</v>
      </c>
      <c r="C800" t="s">
        <v>3634</v>
      </c>
      <c r="D800" t="s">
        <v>3631</v>
      </c>
      <c r="E800" t="s">
        <v>110</v>
      </c>
      <c r="H800" t="s">
        <v>3632</v>
      </c>
      <c r="I800" t="s">
        <v>3633</v>
      </c>
    </row>
    <row r="801" spans="1:9" x14ac:dyDescent="0.35">
      <c r="A801" t="s">
        <v>3635</v>
      </c>
      <c r="B801" t="str">
        <f>"9781472421043"</f>
        <v>9781472421043</v>
      </c>
      <c r="C801" t="s">
        <v>3638</v>
      </c>
      <c r="D801" t="s">
        <v>3636</v>
      </c>
      <c r="E801" t="s">
        <v>9</v>
      </c>
      <c r="H801" t="s">
        <v>147</v>
      </c>
      <c r="I801" t="s">
        <v>3637</v>
      </c>
    </row>
    <row r="802" spans="1:9" x14ac:dyDescent="0.35">
      <c r="A802" t="s">
        <v>3639</v>
      </c>
      <c r="B802" t="str">
        <f>"9781452941912"</f>
        <v>9781452941912</v>
      </c>
      <c r="C802" t="s">
        <v>3642</v>
      </c>
      <c r="D802" t="s">
        <v>3640</v>
      </c>
      <c r="E802" t="s">
        <v>305</v>
      </c>
      <c r="H802" t="s">
        <v>1691</v>
      </c>
      <c r="I802" t="s">
        <v>3641</v>
      </c>
    </row>
    <row r="803" spans="1:9" x14ac:dyDescent="0.35">
      <c r="A803" t="s">
        <v>3643</v>
      </c>
      <c r="B803" t="str">
        <f>"9780199325368"</f>
        <v>9780199325368</v>
      </c>
      <c r="C803" t="s">
        <v>3646</v>
      </c>
      <c r="D803" t="s">
        <v>3644</v>
      </c>
      <c r="E803" t="s">
        <v>167</v>
      </c>
      <c r="H803" t="s">
        <v>22</v>
      </c>
      <c r="I803" t="s">
        <v>3645</v>
      </c>
    </row>
    <row r="804" spans="1:9" x14ac:dyDescent="0.35">
      <c r="A804" t="s">
        <v>3647</v>
      </c>
      <c r="B804" t="str">
        <f>"9780817387600"</f>
        <v>9780817387600</v>
      </c>
      <c r="C804" t="s">
        <v>3651</v>
      </c>
      <c r="D804" t="s">
        <v>3649</v>
      </c>
      <c r="E804" t="s">
        <v>749</v>
      </c>
      <c r="F804" t="s">
        <v>3648</v>
      </c>
      <c r="H804" t="s">
        <v>22</v>
      </c>
      <c r="I804" t="s">
        <v>3650</v>
      </c>
    </row>
    <row r="805" spans="1:9" x14ac:dyDescent="0.35">
      <c r="A805" t="s">
        <v>3652</v>
      </c>
      <c r="B805" t="str">
        <f>"9789783603752"</f>
        <v>9789783603752</v>
      </c>
      <c r="C805" t="s">
        <v>3656</v>
      </c>
      <c r="D805" t="s">
        <v>3654</v>
      </c>
      <c r="E805" t="s">
        <v>3653</v>
      </c>
      <c r="H805" t="s">
        <v>147</v>
      </c>
      <c r="I805" t="s">
        <v>3655</v>
      </c>
    </row>
    <row r="806" spans="1:9" x14ac:dyDescent="0.35">
      <c r="A806" t="s">
        <v>3657</v>
      </c>
      <c r="B806" t="str">
        <f>"9780813048796"</f>
        <v>9780813048796</v>
      </c>
      <c r="C806" t="s">
        <v>3661</v>
      </c>
      <c r="D806" t="s">
        <v>3658</v>
      </c>
      <c r="E806" t="s">
        <v>2353</v>
      </c>
      <c r="H806" t="s">
        <v>3659</v>
      </c>
      <c r="I806" t="s">
        <v>3660</v>
      </c>
    </row>
    <row r="807" spans="1:9" x14ac:dyDescent="0.35">
      <c r="A807" t="s">
        <v>3662</v>
      </c>
      <c r="B807" t="str">
        <f>"9781452940908"</f>
        <v>9781452940908</v>
      </c>
      <c r="C807" t="s">
        <v>3665</v>
      </c>
      <c r="D807" t="s">
        <v>3663</v>
      </c>
      <c r="E807" t="s">
        <v>305</v>
      </c>
      <c r="H807" t="s">
        <v>22</v>
      </c>
      <c r="I807" t="s">
        <v>3664</v>
      </c>
    </row>
    <row r="808" spans="1:9" x14ac:dyDescent="0.35">
      <c r="A808" t="s">
        <v>3666</v>
      </c>
      <c r="B808" t="str">
        <f>"9789004271371"</f>
        <v>9789004271371</v>
      </c>
      <c r="C808" t="s">
        <v>3669</v>
      </c>
      <c r="D808" t="s">
        <v>3667</v>
      </c>
      <c r="E808" t="s">
        <v>901</v>
      </c>
      <c r="F808" t="s">
        <v>1086</v>
      </c>
      <c r="H808" t="s">
        <v>163</v>
      </c>
      <c r="I808" t="s">
        <v>3668</v>
      </c>
    </row>
    <row r="809" spans="1:9" x14ac:dyDescent="0.35">
      <c r="A809" t="s">
        <v>3670</v>
      </c>
      <c r="B809" t="str">
        <f>"9781317955597"</f>
        <v>9781317955597</v>
      </c>
      <c r="C809" t="s">
        <v>3673</v>
      </c>
      <c r="D809" t="s">
        <v>3671</v>
      </c>
      <c r="E809" t="s">
        <v>9</v>
      </c>
      <c r="H809" t="s">
        <v>22</v>
      </c>
      <c r="I809" t="s">
        <v>3672</v>
      </c>
    </row>
    <row r="810" spans="1:9" x14ac:dyDescent="0.35">
      <c r="A810" t="s">
        <v>3674</v>
      </c>
      <c r="B810" t="str">
        <f>"9781472425133"</f>
        <v>9781472425133</v>
      </c>
      <c r="C810" t="s">
        <v>3677</v>
      </c>
      <c r="D810" t="s">
        <v>3675</v>
      </c>
      <c r="E810" t="s">
        <v>9</v>
      </c>
      <c r="H810" t="s">
        <v>75</v>
      </c>
      <c r="I810" t="s">
        <v>3676</v>
      </c>
    </row>
    <row r="811" spans="1:9" x14ac:dyDescent="0.35">
      <c r="A811" t="s">
        <v>3678</v>
      </c>
      <c r="B811" t="str">
        <f>"9781452942063"</f>
        <v>9781452942063</v>
      </c>
      <c r="C811" t="s">
        <v>3681</v>
      </c>
      <c r="D811" t="s">
        <v>3679</v>
      </c>
      <c r="E811" t="s">
        <v>305</v>
      </c>
      <c r="H811" t="s">
        <v>147</v>
      </c>
      <c r="I811" t="s">
        <v>3680</v>
      </c>
    </row>
    <row r="812" spans="1:9" x14ac:dyDescent="0.35">
      <c r="A812" t="s">
        <v>3682</v>
      </c>
      <c r="B812" t="str">
        <f>"9781443861113"</f>
        <v>9781443861113</v>
      </c>
      <c r="C812" t="s">
        <v>3685</v>
      </c>
      <c r="D812" t="s">
        <v>3683</v>
      </c>
      <c r="E812" t="s">
        <v>2729</v>
      </c>
      <c r="H812" t="s">
        <v>147</v>
      </c>
      <c r="I812" t="s">
        <v>3684</v>
      </c>
    </row>
    <row r="813" spans="1:9" x14ac:dyDescent="0.35">
      <c r="A813" t="s">
        <v>3686</v>
      </c>
      <c r="B813" t="str">
        <f>"9780520959804"</f>
        <v>9780520959804</v>
      </c>
      <c r="C813" t="s">
        <v>3689</v>
      </c>
      <c r="D813" t="s">
        <v>3687</v>
      </c>
      <c r="E813" t="s">
        <v>84</v>
      </c>
      <c r="H813" t="s">
        <v>209</v>
      </c>
      <c r="I813" t="s">
        <v>3688</v>
      </c>
    </row>
    <row r="814" spans="1:9" x14ac:dyDescent="0.35">
      <c r="A814" t="s">
        <v>3690</v>
      </c>
      <c r="B814" t="str">
        <f>"9780813568720"</f>
        <v>9780813568720</v>
      </c>
      <c r="C814" t="s">
        <v>3692</v>
      </c>
      <c r="D814" t="s">
        <v>3691</v>
      </c>
      <c r="E814" t="s">
        <v>366</v>
      </c>
      <c r="H814" t="s">
        <v>397</v>
      </c>
      <c r="I814" t="s">
        <v>3421</v>
      </c>
    </row>
    <row r="815" spans="1:9" x14ac:dyDescent="0.35">
      <c r="A815" t="s">
        <v>3693</v>
      </c>
      <c r="B815" t="str">
        <f>"9781443861533"</f>
        <v>9781443861533</v>
      </c>
      <c r="C815" t="s">
        <v>3696</v>
      </c>
      <c r="D815" t="s">
        <v>3694</v>
      </c>
      <c r="E815" t="s">
        <v>2729</v>
      </c>
      <c r="H815" t="s">
        <v>22</v>
      </c>
      <c r="I815" t="s">
        <v>3695</v>
      </c>
    </row>
    <row r="816" spans="1:9" x14ac:dyDescent="0.35">
      <c r="A816" t="s">
        <v>3697</v>
      </c>
      <c r="B816" t="str">
        <f>"9781784412838"</f>
        <v>9781784412838</v>
      </c>
      <c r="C816" t="s">
        <v>3701</v>
      </c>
      <c r="D816" t="s">
        <v>3699</v>
      </c>
      <c r="E816" t="s">
        <v>818</v>
      </c>
      <c r="F816" t="s">
        <v>3698</v>
      </c>
      <c r="H816" t="s">
        <v>209</v>
      </c>
      <c r="I816" t="s">
        <v>3700</v>
      </c>
    </row>
    <row r="817" spans="1:9" x14ac:dyDescent="0.35">
      <c r="A817" t="s">
        <v>3702</v>
      </c>
      <c r="B817" t="str">
        <f>"9781611476637"</f>
        <v>9781611476637</v>
      </c>
      <c r="C817" t="s">
        <v>3705</v>
      </c>
      <c r="D817" t="s">
        <v>3703</v>
      </c>
      <c r="E817" t="s">
        <v>2061</v>
      </c>
      <c r="H817" t="s">
        <v>22</v>
      </c>
      <c r="I817" t="s">
        <v>3704</v>
      </c>
    </row>
    <row r="818" spans="1:9" x14ac:dyDescent="0.35">
      <c r="A818" t="s">
        <v>3706</v>
      </c>
      <c r="B818" t="str">
        <f>"9780804791854"</f>
        <v>9780804791854</v>
      </c>
      <c r="C818" t="s">
        <v>3709</v>
      </c>
      <c r="D818" t="s">
        <v>3707</v>
      </c>
      <c r="E818" t="s">
        <v>1186</v>
      </c>
      <c r="H818" t="s">
        <v>22</v>
      </c>
      <c r="I818" t="s">
        <v>3708</v>
      </c>
    </row>
    <row r="819" spans="1:9" x14ac:dyDescent="0.35">
      <c r="A819" t="s">
        <v>3710</v>
      </c>
      <c r="B819" t="str">
        <f>"9781620970553"</f>
        <v>9781620970553</v>
      </c>
      <c r="C819" t="s">
        <v>3714</v>
      </c>
      <c r="D819" t="s">
        <v>3712</v>
      </c>
      <c r="E819" t="s">
        <v>3711</v>
      </c>
      <c r="H819" t="s">
        <v>170</v>
      </c>
      <c r="I819" t="s">
        <v>3713</v>
      </c>
    </row>
    <row r="820" spans="1:9" x14ac:dyDescent="0.35">
      <c r="A820" t="s">
        <v>3715</v>
      </c>
      <c r="B820" t="str">
        <f>"9789401210232"</f>
        <v>9789401210232</v>
      </c>
      <c r="C820" t="s">
        <v>3719</v>
      </c>
      <c r="D820" t="s">
        <v>3717</v>
      </c>
      <c r="E820" t="s">
        <v>901</v>
      </c>
      <c r="F820" t="s">
        <v>3716</v>
      </c>
      <c r="H820" t="s">
        <v>147</v>
      </c>
      <c r="I820" t="s">
        <v>3718</v>
      </c>
    </row>
    <row r="821" spans="1:9" x14ac:dyDescent="0.35">
      <c r="A821" t="s">
        <v>3720</v>
      </c>
      <c r="B821" t="str">
        <f>"9789004208483"</f>
        <v>9789004208483</v>
      </c>
      <c r="C821" t="s">
        <v>3724</v>
      </c>
      <c r="D821" t="s">
        <v>3722</v>
      </c>
      <c r="E821" t="s">
        <v>901</v>
      </c>
      <c r="F821" t="s">
        <v>3721</v>
      </c>
      <c r="H821" t="s">
        <v>22</v>
      </c>
      <c r="I821" t="s">
        <v>3723</v>
      </c>
    </row>
    <row r="822" spans="1:9" x14ac:dyDescent="0.35">
      <c r="A822" t="s">
        <v>3725</v>
      </c>
      <c r="B822" t="str">
        <f>"9780739168691"</f>
        <v>9780739168691</v>
      </c>
      <c r="C822" t="s">
        <v>3728</v>
      </c>
      <c r="D822" t="s">
        <v>3726</v>
      </c>
      <c r="E822" t="s">
        <v>887</v>
      </c>
      <c r="H822" t="s">
        <v>163</v>
      </c>
      <c r="I822" t="s">
        <v>3727</v>
      </c>
    </row>
    <row r="823" spans="1:9" x14ac:dyDescent="0.35">
      <c r="A823" t="s">
        <v>3729</v>
      </c>
      <c r="B823" t="str">
        <f>"9780761864035"</f>
        <v>9780761864035</v>
      </c>
      <c r="C823" t="s">
        <v>3732</v>
      </c>
      <c r="D823" t="s">
        <v>3730</v>
      </c>
      <c r="E823" t="s">
        <v>3124</v>
      </c>
      <c r="H823" t="s">
        <v>22</v>
      </c>
      <c r="I823" t="s">
        <v>3731</v>
      </c>
    </row>
    <row r="824" spans="1:9" x14ac:dyDescent="0.35">
      <c r="A824" t="s">
        <v>3733</v>
      </c>
      <c r="B824" t="str">
        <f>"9781441145451"</f>
        <v>9781441145451</v>
      </c>
      <c r="C824" t="s">
        <v>3736</v>
      </c>
      <c r="D824" t="s">
        <v>3734</v>
      </c>
      <c r="E824" t="s">
        <v>629</v>
      </c>
      <c r="H824" t="s">
        <v>849</v>
      </c>
      <c r="I824" t="s">
        <v>3735</v>
      </c>
    </row>
    <row r="825" spans="1:9" x14ac:dyDescent="0.35">
      <c r="A825" t="s">
        <v>3737</v>
      </c>
      <c r="B825" t="str">
        <f>"9781442237612"</f>
        <v>9781442237612</v>
      </c>
      <c r="C825" t="s">
        <v>3741</v>
      </c>
      <c r="D825" t="s">
        <v>3739</v>
      </c>
      <c r="E825" t="s">
        <v>882</v>
      </c>
      <c r="F825" t="s">
        <v>3738</v>
      </c>
      <c r="H825" t="s">
        <v>147</v>
      </c>
      <c r="I825" t="s">
        <v>3740</v>
      </c>
    </row>
    <row r="826" spans="1:9" x14ac:dyDescent="0.35">
      <c r="A826" t="s">
        <v>3742</v>
      </c>
      <c r="B826" t="str">
        <f>"9780821443781"</f>
        <v>9780821443781</v>
      </c>
      <c r="C826" t="s">
        <v>3747</v>
      </c>
      <c r="D826" t="s">
        <v>3745</v>
      </c>
      <c r="E826" t="s">
        <v>3743</v>
      </c>
      <c r="F826" t="s">
        <v>3744</v>
      </c>
      <c r="H826" t="s">
        <v>147</v>
      </c>
      <c r="I826" t="s">
        <v>3746</v>
      </c>
    </row>
    <row r="827" spans="1:9" x14ac:dyDescent="0.35">
      <c r="A827" t="s">
        <v>3748</v>
      </c>
      <c r="B827" t="str">
        <f>"9781443864824"</f>
        <v>9781443864824</v>
      </c>
      <c r="C827" t="s">
        <v>3751</v>
      </c>
      <c r="D827" t="s">
        <v>3749</v>
      </c>
      <c r="E827" t="s">
        <v>2729</v>
      </c>
      <c r="H827" t="s">
        <v>22</v>
      </c>
      <c r="I827" t="s">
        <v>3750</v>
      </c>
    </row>
    <row r="828" spans="1:9" x14ac:dyDescent="0.35">
      <c r="A828" t="s">
        <v>3752</v>
      </c>
      <c r="B828" t="str">
        <f>"9789401211024"</f>
        <v>9789401211024</v>
      </c>
      <c r="C828" t="s">
        <v>3756</v>
      </c>
      <c r="D828" t="s">
        <v>3754</v>
      </c>
      <c r="E828" t="s">
        <v>901</v>
      </c>
      <c r="F828" t="s">
        <v>3753</v>
      </c>
      <c r="H828" t="s">
        <v>147</v>
      </c>
      <c r="I828" t="s">
        <v>3755</v>
      </c>
    </row>
    <row r="829" spans="1:9" x14ac:dyDescent="0.35">
      <c r="A829" t="s">
        <v>3757</v>
      </c>
      <c r="B829" t="str">
        <f>"9781922084576"</f>
        <v>9781922084576</v>
      </c>
      <c r="C829" t="s">
        <v>3762</v>
      </c>
      <c r="D829" t="s">
        <v>3760</v>
      </c>
      <c r="E829" t="s">
        <v>3758</v>
      </c>
      <c r="F829" t="s">
        <v>3759</v>
      </c>
      <c r="H829" t="s">
        <v>22</v>
      </c>
      <c r="I829" t="s">
        <v>3761</v>
      </c>
    </row>
    <row r="830" spans="1:9" x14ac:dyDescent="0.35">
      <c r="A830" t="s">
        <v>3763</v>
      </c>
      <c r="B830" t="str">
        <f>"9781780329130"</f>
        <v>9781780329130</v>
      </c>
      <c r="C830" t="s">
        <v>3766</v>
      </c>
      <c r="D830" t="s">
        <v>3764</v>
      </c>
      <c r="E830" t="s">
        <v>493</v>
      </c>
      <c r="H830" t="s">
        <v>22</v>
      </c>
      <c r="I830" t="s">
        <v>3765</v>
      </c>
    </row>
    <row r="831" spans="1:9" x14ac:dyDescent="0.35">
      <c r="A831" t="s">
        <v>3767</v>
      </c>
      <c r="B831" t="str">
        <f>"9781939594037"</f>
        <v>9781939594037</v>
      </c>
      <c r="C831" t="s">
        <v>3771</v>
      </c>
      <c r="D831" t="s">
        <v>3769</v>
      </c>
      <c r="E831" t="s">
        <v>3768</v>
      </c>
      <c r="H831" t="s">
        <v>22</v>
      </c>
      <c r="I831" t="s">
        <v>3770</v>
      </c>
    </row>
    <row r="832" spans="1:9" x14ac:dyDescent="0.35">
      <c r="A832" t="s">
        <v>3772</v>
      </c>
      <c r="B832" t="str">
        <f>"9780199357123"</f>
        <v>9780199357123</v>
      </c>
      <c r="C832" t="s">
        <v>3775</v>
      </c>
      <c r="D832" t="s">
        <v>3773</v>
      </c>
      <c r="E832" t="s">
        <v>167</v>
      </c>
      <c r="H832" t="s">
        <v>397</v>
      </c>
      <c r="I832" t="s">
        <v>3774</v>
      </c>
    </row>
    <row r="833" spans="1:9" x14ac:dyDescent="0.35">
      <c r="A833" t="s">
        <v>3776</v>
      </c>
      <c r="B833" t="str">
        <f>"9781452942216"</f>
        <v>9781452942216</v>
      </c>
      <c r="C833" t="s">
        <v>3779</v>
      </c>
      <c r="D833" t="s">
        <v>3777</v>
      </c>
      <c r="E833" t="s">
        <v>305</v>
      </c>
      <c r="H833" t="s">
        <v>2709</v>
      </c>
      <c r="I833" t="s">
        <v>3778</v>
      </c>
    </row>
    <row r="834" spans="1:9" x14ac:dyDescent="0.35">
      <c r="A834" t="s">
        <v>3780</v>
      </c>
      <c r="B834" t="str">
        <f>"9789461660381"</f>
        <v>9789461660381</v>
      </c>
      <c r="C834" t="s">
        <v>3785</v>
      </c>
      <c r="D834" t="s">
        <v>3783</v>
      </c>
      <c r="E834" t="s">
        <v>3781</v>
      </c>
      <c r="F834" t="s">
        <v>3782</v>
      </c>
      <c r="H834" t="s">
        <v>330</v>
      </c>
      <c r="I834" t="s">
        <v>3784</v>
      </c>
    </row>
    <row r="835" spans="1:9" x14ac:dyDescent="0.35">
      <c r="A835" t="s">
        <v>3786</v>
      </c>
      <c r="B835" t="str">
        <f>"9781409457503"</f>
        <v>9781409457503</v>
      </c>
      <c r="C835" t="s">
        <v>3789</v>
      </c>
      <c r="D835" t="s">
        <v>3787</v>
      </c>
      <c r="E835" t="s">
        <v>9</v>
      </c>
      <c r="H835" t="s">
        <v>1147</v>
      </c>
      <c r="I835" t="s">
        <v>3788</v>
      </c>
    </row>
    <row r="836" spans="1:9" x14ac:dyDescent="0.35">
      <c r="A836" t="s">
        <v>3790</v>
      </c>
      <c r="B836" t="str">
        <f>"9781847316547"</f>
        <v>9781847316547</v>
      </c>
      <c r="C836" t="s">
        <v>3794</v>
      </c>
      <c r="D836" t="s">
        <v>3792</v>
      </c>
      <c r="E836" t="s">
        <v>629</v>
      </c>
      <c r="F836" t="s">
        <v>3791</v>
      </c>
      <c r="H836" t="s">
        <v>70</v>
      </c>
      <c r="I836" t="s">
        <v>3793</v>
      </c>
    </row>
    <row r="837" spans="1:9" x14ac:dyDescent="0.35">
      <c r="A837" t="s">
        <v>3795</v>
      </c>
      <c r="B837" t="str">
        <f>"9780896804807"</f>
        <v>9780896804807</v>
      </c>
      <c r="C837" t="s">
        <v>3799</v>
      </c>
      <c r="D837" t="s">
        <v>3797</v>
      </c>
      <c r="E837" t="s">
        <v>3743</v>
      </c>
      <c r="F837" t="s">
        <v>3796</v>
      </c>
      <c r="H837" t="s">
        <v>22</v>
      </c>
      <c r="I837" t="s">
        <v>3798</v>
      </c>
    </row>
    <row r="838" spans="1:9" x14ac:dyDescent="0.35">
      <c r="A838" t="s">
        <v>3800</v>
      </c>
      <c r="B838" t="str">
        <f>"9789048521753"</f>
        <v>9789048521753</v>
      </c>
      <c r="C838" t="s">
        <v>3804</v>
      </c>
      <c r="D838" t="s">
        <v>3802</v>
      </c>
      <c r="E838" t="s">
        <v>622</v>
      </c>
      <c r="F838" t="s">
        <v>3801</v>
      </c>
      <c r="H838" t="s">
        <v>1162</v>
      </c>
      <c r="I838" t="s">
        <v>3803</v>
      </c>
    </row>
    <row r="839" spans="1:9" x14ac:dyDescent="0.35">
      <c r="A839" t="s">
        <v>3805</v>
      </c>
      <c r="B839" t="str">
        <f>"9789048515707"</f>
        <v>9789048515707</v>
      </c>
      <c r="C839" t="s">
        <v>3809</v>
      </c>
      <c r="D839" t="s">
        <v>3807</v>
      </c>
      <c r="E839" t="s">
        <v>622</v>
      </c>
      <c r="F839" t="s">
        <v>3806</v>
      </c>
      <c r="H839" t="s">
        <v>237</v>
      </c>
      <c r="I839" t="s">
        <v>3808</v>
      </c>
    </row>
    <row r="840" spans="1:9" x14ac:dyDescent="0.35">
      <c r="A840" t="s">
        <v>3810</v>
      </c>
      <c r="B840" t="str">
        <f>"9780739190975"</f>
        <v>9780739190975</v>
      </c>
      <c r="C840" t="s">
        <v>3813</v>
      </c>
      <c r="D840" t="s">
        <v>3811</v>
      </c>
      <c r="E840" t="s">
        <v>887</v>
      </c>
      <c r="H840" t="s">
        <v>58</v>
      </c>
      <c r="I840" t="s">
        <v>3812</v>
      </c>
    </row>
    <row r="841" spans="1:9" x14ac:dyDescent="0.35">
      <c r="A841" t="s">
        <v>3814</v>
      </c>
      <c r="B841" t="str">
        <f>"9781611485721"</f>
        <v>9781611485721</v>
      </c>
      <c r="C841" t="s">
        <v>3817</v>
      </c>
      <c r="D841" t="s">
        <v>3815</v>
      </c>
      <c r="E841" t="s">
        <v>1726</v>
      </c>
      <c r="H841" t="s">
        <v>147</v>
      </c>
      <c r="I841" t="s">
        <v>3816</v>
      </c>
    </row>
    <row r="842" spans="1:9" x14ac:dyDescent="0.35">
      <c r="A842" t="s">
        <v>3818</v>
      </c>
      <c r="B842" t="str">
        <f>"9781317543817"</f>
        <v>9781317543817</v>
      </c>
      <c r="C842" t="s">
        <v>3822</v>
      </c>
      <c r="D842" t="s">
        <v>3820</v>
      </c>
      <c r="E842" t="s">
        <v>9</v>
      </c>
      <c r="F842" t="s">
        <v>3819</v>
      </c>
      <c r="H842" t="s">
        <v>147</v>
      </c>
      <c r="I842" t="s">
        <v>3821</v>
      </c>
    </row>
    <row r="843" spans="1:9" x14ac:dyDescent="0.35">
      <c r="A843" t="s">
        <v>3823</v>
      </c>
      <c r="B843" t="str">
        <f>"9781442206380"</f>
        <v>9781442206380</v>
      </c>
      <c r="C843" t="s">
        <v>3826</v>
      </c>
      <c r="D843" t="s">
        <v>3824</v>
      </c>
      <c r="E843" t="s">
        <v>882</v>
      </c>
      <c r="F843" t="s">
        <v>896</v>
      </c>
      <c r="H843" t="s">
        <v>22</v>
      </c>
      <c r="I843" t="s">
        <v>3825</v>
      </c>
    </row>
    <row r="844" spans="1:9" x14ac:dyDescent="0.35">
      <c r="A844" t="s">
        <v>3827</v>
      </c>
      <c r="B844" t="str">
        <f>"9780739199176"</f>
        <v>9780739199176</v>
      </c>
      <c r="C844" t="s">
        <v>3830</v>
      </c>
      <c r="D844" t="s">
        <v>3828</v>
      </c>
      <c r="E844" t="s">
        <v>887</v>
      </c>
      <c r="H844" t="s">
        <v>22</v>
      </c>
      <c r="I844" t="s">
        <v>3829</v>
      </c>
    </row>
    <row r="845" spans="1:9" x14ac:dyDescent="0.35">
      <c r="A845" t="s">
        <v>3831</v>
      </c>
      <c r="B845" t="str">
        <f>"9781443867795"</f>
        <v>9781443867795</v>
      </c>
      <c r="C845" t="s">
        <v>3835</v>
      </c>
      <c r="D845" t="s">
        <v>3832</v>
      </c>
      <c r="E845" t="s">
        <v>2729</v>
      </c>
      <c r="H845" t="s">
        <v>3833</v>
      </c>
      <c r="I845" t="s">
        <v>3834</v>
      </c>
    </row>
    <row r="846" spans="1:9" x14ac:dyDescent="0.35">
      <c r="A846" t="s">
        <v>3836</v>
      </c>
      <c r="B846" t="str">
        <f>"9780231538404"</f>
        <v>9780231538404</v>
      </c>
      <c r="C846" t="s">
        <v>3839</v>
      </c>
      <c r="D846" t="s">
        <v>3837</v>
      </c>
      <c r="E846" t="s">
        <v>2251</v>
      </c>
      <c r="H846" t="s">
        <v>58</v>
      </c>
      <c r="I846" t="s">
        <v>3838</v>
      </c>
    </row>
    <row r="847" spans="1:9" x14ac:dyDescent="0.35">
      <c r="A847" t="s">
        <v>3840</v>
      </c>
      <c r="B847" t="str">
        <f>"9781443868334"</f>
        <v>9781443868334</v>
      </c>
      <c r="C847" t="s">
        <v>3843</v>
      </c>
      <c r="D847" t="s">
        <v>3841</v>
      </c>
      <c r="E847" t="s">
        <v>2729</v>
      </c>
      <c r="H847" t="s">
        <v>22</v>
      </c>
      <c r="I847" t="s">
        <v>3842</v>
      </c>
    </row>
    <row r="848" spans="1:9" x14ac:dyDescent="0.35">
      <c r="A848" t="s">
        <v>3844</v>
      </c>
      <c r="B848" t="str">
        <f>"9781443868549"</f>
        <v>9781443868549</v>
      </c>
      <c r="C848" t="s">
        <v>3847</v>
      </c>
      <c r="D848" t="s">
        <v>3845</v>
      </c>
      <c r="E848" t="s">
        <v>2729</v>
      </c>
      <c r="H848" t="s">
        <v>377</v>
      </c>
      <c r="I848" t="s">
        <v>3846</v>
      </c>
    </row>
    <row r="849" spans="1:9" x14ac:dyDescent="0.35">
      <c r="A849" t="s">
        <v>3848</v>
      </c>
      <c r="B849" t="str">
        <f>"9781443869737"</f>
        <v>9781443869737</v>
      </c>
      <c r="C849" t="s">
        <v>3851</v>
      </c>
      <c r="D849" t="s">
        <v>3849</v>
      </c>
      <c r="E849" t="s">
        <v>2729</v>
      </c>
      <c r="H849" t="s">
        <v>147</v>
      </c>
      <c r="I849" t="s">
        <v>3850</v>
      </c>
    </row>
    <row r="850" spans="1:9" x14ac:dyDescent="0.35">
      <c r="A850" t="s">
        <v>3852</v>
      </c>
      <c r="B850" t="str">
        <f>"9780253015273"</f>
        <v>9780253015273</v>
      </c>
      <c r="C850" t="s">
        <v>3855</v>
      </c>
      <c r="D850" t="s">
        <v>3853</v>
      </c>
      <c r="E850" t="s">
        <v>110</v>
      </c>
      <c r="H850" t="s">
        <v>625</v>
      </c>
      <c r="I850" t="s">
        <v>3854</v>
      </c>
    </row>
    <row r="851" spans="1:9" x14ac:dyDescent="0.35">
      <c r="A851" t="s">
        <v>3856</v>
      </c>
      <c r="B851" t="str">
        <f>"9781780231419"</f>
        <v>9781780231419</v>
      </c>
      <c r="C851" t="s">
        <v>3860</v>
      </c>
      <c r="D851" t="s">
        <v>3857</v>
      </c>
      <c r="E851" t="s">
        <v>2043</v>
      </c>
      <c r="H851" t="s">
        <v>3858</v>
      </c>
      <c r="I851" t="s">
        <v>3859</v>
      </c>
    </row>
    <row r="852" spans="1:9" x14ac:dyDescent="0.35">
      <c r="A852" t="s">
        <v>3861</v>
      </c>
      <c r="B852" t="str">
        <f>"9781479851812"</f>
        <v>9781479851812</v>
      </c>
      <c r="C852" t="s">
        <v>3864</v>
      </c>
      <c r="D852" t="s">
        <v>3862</v>
      </c>
      <c r="E852" t="s">
        <v>2104</v>
      </c>
      <c r="H852" t="s">
        <v>163</v>
      </c>
      <c r="I852" t="s">
        <v>3863</v>
      </c>
    </row>
    <row r="853" spans="1:9" x14ac:dyDescent="0.35">
      <c r="A853" t="s">
        <v>3865</v>
      </c>
      <c r="B853" t="str">
        <f>"9781442218284"</f>
        <v>9781442218284</v>
      </c>
      <c r="C853" t="s">
        <v>3868</v>
      </c>
      <c r="D853" t="s">
        <v>1201</v>
      </c>
      <c r="E853" t="s">
        <v>882</v>
      </c>
      <c r="F853" t="s">
        <v>3866</v>
      </c>
      <c r="H853" t="s">
        <v>86</v>
      </c>
      <c r="I853" t="s">
        <v>3867</v>
      </c>
    </row>
    <row r="854" spans="1:9" x14ac:dyDescent="0.35">
      <c r="A854" t="s">
        <v>3869</v>
      </c>
      <c r="B854" t="str">
        <f>"9780739188484"</f>
        <v>9780739188484</v>
      </c>
      <c r="C854" t="s">
        <v>3872</v>
      </c>
      <c r="D854" t="s">
        <v>3870</v>
      </c>
      <c r="E854" t="s">
        <v>887</v>
      </c>
      <c r="H854" t="s">
        <v>86</v>
      </c>
      <c r="I854" t="s">
        <v>3871</v>
      </c>
    </row>
    <row r="855" spans="1:9" x14ac:dyDescent="0.35">
      <c r="A855" t="s">
        <v>3873</v>
      </c>
      <c r="B855" t="str">
        <f>"9781443871419"</f>
        <v>9781443871419</v>
      </c>
      <c r="C855" t="s">
        <v>3876</v>
      </c>
      <c r="D855" t="s">
        <v>3874</v>
      </c>
      <c r="E855" t="s">
        <v>2729</v>
      </c>
      <c r="H855" t="s">
        <v>275</v>
      </c>
      <c r="I855" t="s">
        <v>3875</v>
      </c>
    </row>
    <row r="856" spans="1:9" x14ac:dyDescent="0.35">
      <c r="A856" t="s">
        <v>3877</v>
      </c>
      <c r="B856" t="str">
        <f>"9780814764541"</f>
        <v>9780814764541</v>
      </c>
      <c r="C856" t="s">
        <v>3880</v>
      </c>
      <c r="D856" t="s">
        <v>3878</v>
      </c>
      <c r="E856" t="s">
        <v>2104</v>
      </c>
      <c r="H856" t="s">
        <v>116</v>
      </c>
      <c r="I856" t="s">
        <v>3879</v>
      </c>
    </row>
    <row r="857" spans="1:9" x14ac:dyDescent="0.35">
      <c r="A857" t="s">
        <v>3881</v>
      </c>
      <c r="B857" t="str">
        <f>"9780821444900"</f>
        <v>9780821444900</v>
      </c>
      <c r="C857" t="s">
        <v>3884</v>
      </c>
      <c r="D857" t="s">
        <v>3882</v>
      </c>
      <c r="E857" t="s">
        <v>3743</v>
      </c>
      <c r="H857" t="s">
        <v>22</v>
      </c>
      <c r="I857" t="s">
        <v>3883</v>
      </c>
    </row>
    <row r="858" spans="1:9" x14ac:dyDescent="0.35">
      <c r="A858" t="s">
        <v>3885</v>
      </c>
      <c r="B858" t="str">
        <f>"9781472440020"</f>
        <v>9781472440020</v>
      </c>
      <c r="C858" t="s">
        <v>3888</v>
      </c>
      <c r="D858" t="s">
        <v>3886</v>
      </c>
      <c r="E858" t="s">
        <v>9</v>
      </c>
      <c r="H858" t="s">
        <v>147</v>
      </c>
      <c r="I858" t="s">
        <v>3887</v>
      </c>
    </row>
    <row r="859" spans="1:9" x14ac:dyDescent="0.35">
      <c r="A859" t="s">
        <v>3889</v>
      </c>
      <c r="B859" t="str">
        <f>"9781452943343"</f>
        <v>9781452943343</v>
      </c>
      <c r="C859" t="s">
        <v>3892</v>
      </c>
      <c r="D859" t="s">
        <v>3890</v>
      </c>
      <c r="E859" t="s">
        <v>305</v>
      </c>
      <c r="F859" t="s">
        <v>1820</v>
      </c>
      <c r="H859" t="s">
        <v>22</v>
      </c>
      <c r="I859" t="s">
        <v>3891</v>
      </c>
    </row>
    <row r="860" spans="1:9" x14ac:dyDescent="0.35">
      <c r="A860" t="s">
        <v>3893</v>
      </c>
      <c r="B860" t="str">
        <f>"9781317491156"</f>
        <v>9781317491156</v>
      </c>
      <c r="C860" t="s">
        <v>3896</v>
      </c>
      <c r="D860" t="s">
        <v>3894</v>
      </c>
      <c r="E860" t="s">
        <v>9</v>
      </c>
      <c r="H860" t="s">
        <v>22</v>
      </c>
      <c r="I860" t="s">
        <v>3895</v>
      </c>
    </row>
    <row r="861" spans="1:9" x14ac:dyDescent="0.35">
      <c r="A861" t="s">
        <v>3897</v>
      </c>
      <c r="B861" t="str">
        <f>"9781440804076"</f>
        <v>9781440804076</v>
      </c>
      <c r="C861" t="s">
        <v>3899</v>
      </c>
      <c r="D861" t="s">
        <v>3898</v>
      </c>
      <c r="E861" t="s">
        <v>338</v>
      </c>
      <c r="H861" t="s">
        <v>330</v>
      </c>
      <c r="I861" t="s">
        <v>1890</v>
      </c>
    </row>
    <row r="862" spans="1:9" x14ac:dyDescent="0.35">
      <c r="A862" t="s">
        <v>3900</v>
      </c>
      <c r="B862" t="str">
        <f>"9780708323113"</f>
        <v>9780708323113</v>
      </c>
      <c r="C862" t="s">
        <v>3904</v>
      </c>
      <c r="D862" t="s">
        <v>3902</v>
      </c>
      <c r="E862" t="s">
        <v>1108</v>
      </c>
      <c r="F862" t="s">
        <v>3901</v>
      </c>
      <c r="H862" t="s">
        <v>22</v>
      </c>
      <c r="I862" t="s">
        <v>3903</v>
      </c>
    </row>
    <row r="863" spans="1:9" x14ac:dyDescent="0.35">
      <c r="A863" t="s">
        <v>3905</v>
      </c>
      <c r="B863" t="str">
        <f>"9780708324516"</f>
        <v>9780708324516</v>
      </c>
      <c r="C863" t="s">
        <v>3909</v>
      </c>
      <c r="D863" t="s">
        <v>3906</v>
      </c>
      <c r="E863" t="s">
        <v>1108</v>
      </c>
      <c r="H863" t="s">
        <v>3907</v>
      </c>
      <c r="I863" t="s">
        <v>3908</v>
      </c>
    </row>
    <row r="864" spans="1:9" x14ac:dyDescent="0.35">
      <c r="A864" t="s">
        <v>3910</v>
      </c>
      <c r="B864" t="str">
        <f>"9780708324608"</f>
        <v>9780708324608</v>
      </c>
      <c r="C864" t="s">
        <v>3913</v>
      </c>
      <c r="D864" t="s">
        <v>3911</v>
      </c>
      <c r="E864" t="s">
        <v>1108</v>
      </c>
      <c r="F864" t="s">
        <v>2885</v>
      </c>
      <c r="H864" t="s">
        <v>147</v>
      </c>
      <c r="I864" t="s">
        <v>3912</v>
      </c>
    </row>
    <row r="865" spans="1:9" x14ac:dyDescent="0.35">
      <c r="A865" t="s">
        <v>3914</v>
      </c>
      <c r="B865" t="str">
        <f>"9781119026563"</f>
        <v>9781119026563</v>
      </c>
      <c r="C865" t="s">
        <v>3918</v>
      </c>
      <c r="D865" t="s">
        <v>3916</v>
      </c>
      <c r="E865" t="s">
        <v>3915</v>
      </c>
      <c r="H865" t="s">
        <v>22</v>
      </c>
      <c r="I865" t="s">
        <v>3917</v>
      </c>
    </row>
    <row r="866" spans="1:9" x14ac:dyDescent="0.35">
      <c r="A866" t="s">
        <v>3919</v>
      </c>
      <c r="B866" t="str">
        <f>"9780199357581"</f>
        <v>9780199357581</v>
      </c>
      <c r="C866" t="s">
        <v>3922</v>
      </c>
      <c r="D866" t="s">
        <v>3920</v>
      </c>
      <c r="E866" t="s">
        <v>167</v>
      </c>
      <c r="H866" t="s">
        <v>86</v>
      </c>
      <c r="I866" t="s">
        <v>3921</v>
      </c>
    </row>
    <row r="867" spans="1:9" x14ac:dyDescent="0.35">
      <c r="A867" t="s">
        <v>3923</v>
      </c>
      <c r="B867" t="str">
        <f>"9780739192054"</f>
        <v>9780739192054</v>
      </c>
      <c r="C867" t="s">
        <v>3926</v>
      </c>
      <c r="D867" t="s">
        <v>3924</v>
      </c>
      <c r="E867" t="s">
        <v>887</v>
      </c>
      <c r="H867" t="s">
        <v>17</v>
      </c>
      <c r="I867" t="s">
        <v>3925</v>
      </c>
    </row>
    <row r="868" spans="1:9" x14ac:dyDescent="0.35">
      <c r="A868" t="s">
        <v>3927</v>
      </c>
      <c r="B868" t="str">
        <f>"9780739190302"</f>
        <v>9780739190302</v>
      </c>
      <c r="C868" t="s">
        <v>3931</v>
      </c>
      <c r="D868" t="s">
        <v>3929</v>
      </c>
      <c r="E868" t="s">
        <v>887</v>
      </c>
      <c r="F868" t="s">
        <v>3928</v>
      </c>
      <c r="H868" t="s">
        <v>170</v>
      </c>
      <c r="I868" t="s">
        <v>3930</v>
      </c>
    </row>
    <row r="869" spans="1:9" x14ac:dyDescent="0.35">
      <c r="A869" t="s">
        <v>3932</v>
      </c>
      <c r="B869" t="str">
        <f>"9781611486384"</f>
        <v>9781611486384</v>
      </c>
      <c r="C869" t="s">
        <v>3936</v>
      </c>
      <c r="D869" t="s">
        <v>3934</v>
      </c>
      <c r="E869" t="s">
        <v>1726</v>
      </c>
      <c r="F869" t="s">
        <v>3933</v>
      </c>
      <c r="H869" t="s">
        <v>147</v>
      </c>
      <c r="I869" t="s">
        <v>3935</v>
      </c>
    </row>
    <row r="870" spans="1:9" x14ac:dyDescent="0.35">
      <c r="A870" t="s">
        <v>3937</v>
      </c>
      <c r="B870" t="str">
        <f>"9780739191705"</f>
        <v>9780739191705</v>
      </c>
      <c r="C870" t="s">
        <v>3940</v>
      </c>
      <c r="D870" t="s">
        <v>3938</v>
      </c>
      <c r="E870" t="s">
        <v>887</v>
      </c>
      <c r="H870" t="s">
        <v>22</v>
      </c>
      <c r="I870" t="s">
        <v>3939</v>
      </c>
    </row>
    <row r="871" spans="1:9" x14ac:dyDescent="0.35">
      <c r="A871" t="s">
        <v>3941</v>
      </c>
      <c r="B871" t="str">
        <f>"9781452943459"</f>
        <v>9781452943459</v>
      </c>
      <c r="C871" t="s">
        <v>3944</v>
      </c>
      <c r="D871" t="s">
        <v>3942</v>
      </c>
      <c r="E871" t="s">
        <v>305</v>
      </c>
      <c r="H871" t="s">
        <v>116</v>
      </c>
      <c r="I871" t="s">
        <v>3943</v>
      </c>
    </row>
    <row r="872" spans="1:9" x14ac:dyDescent="0.35">
      <c r="A872" t="s">
        <v>3945</v>
      </c>
      <c r="B872" t="str">
        <f>"9780739170380"</f>
        <v>9780739170380</v>
      </c>
      <c r="C872" t="s">
        <v>3947</v>
      </c>
      <c r="D872" t="s">
        <v>3946</v>
      </c>
      <c r="E872" t="s">
        <v>887</v>
      </c>
      <c r="H872" t="s">
        <v>22</v>
      </c>
      <c r="I872" t="s">
        <v>1232</v>
      </c>
    </row>
    <row r="873" spans="1:9" x14ac:dyDescent="0.35">
      <c r="A873" t="s">
        <v>3948</v>
      </c>
      <c r="B873" t="str">
        <f>"9789814517980"</f>
        <v>9789814517980</v>
      </c>
      <c r="C873" t="s">
        <v>3952</v>
      </c>
      <c r="D873" t="s">
        <v>3950</v>
      </c>
      <c r="E873" t="s">
        <v>3949</v>
      </c>
      <c r="H873" t="s">
        <v>22</v>
      </c>
      <c r="I873" t="s">
        <v>3951</v>
      </c>
    </row>
    <row r="874" spans="1:9" x14ac:dyDescent="0.35">
      <c r="A874" t="s">
        <v>3953</v>
      </c>
      <c r="B874" t="str">
        <f>"9781118611203"</f>
        <v>9781118611203</v>
      </c>
      <c r="C874" t="s">
        <v>3956</v>
      </c>
      <c r="D874" t="s">
        <v>3954</v>
      </c>
      <c r="E874" t="s">
        <v>444</v>
      </c>
      <c r="H874" t="s">
        <v>22</v>
      </c>
      <c r="I874" t="s">
        <v>3955</v>
      </c>
    </row>
    <row r="875" spans="1:9" x14ac:dyDescent="0.35">
      <c r="A875" t="s">
        <v>3957</v>
      </c>
      <c r="B875" t="str">
        <f>"9781784414559"</f>
        <v>9781784414559</v>
      </c>
      <c r="C875" t="s">
        <v>3961</v>
      </c>
      <c r="D875" t="s">
        <v>3959</v>
      </c>
      <c r="E875" t="s">
        <v>818</v>
      </c>
      <c r="F875" t="s">
        <v>3958</v>
      </c>
      <c r="H875" t="s">
        <v>64</v>
      </c>
      <c r="I875" t="s">
        <v>3960</v>
      </c>
    </row>
    <row r="876" spans="1:9" x14ac:dyDescent="0.35">
      <c r="A876" t="s">
        <v>3962</v>
      </c>
      <c r="B876" t="str">
        <f>"9780253016027"</f>
        <v>9780253016027</v>
      </c>
      <c r="C876" t="s">
        <v>3964</v>
      </c>
      <c r="D876" t="s">
        <v>1948</v>
      </c>
      <c r="E876" t="s">
        <v>110</v>
      </c>
      <c r="H876" t="s">
        <v>22</v>
      </c>
      <c r="I876" t="s">
        <v>3963</v>
      </c>
    </row>
    <row r="877" spans="1:9" x14ac:dyDescent="0.35">
      <c r="A877" t="s">
        <v>3965</v>
      </c>
      <c r="B877" t="str">
        <f>"9781498500067"</f>
        <v>9781498500067</v>
      </c>
      <c r="C877" t="s">
        <v>3968</v>
      </c>
      <c r="D877" t="s">
        <v>3966</v>
      </c>
      <c r="E877" t="s">
        <v>887</v>
      </c>
      <c r="H877" t="s">
        <v>22</v>
      </c>
      <c r="I877" t="s">
        <v>3967</v>
      </c>
    </row>
    <row r="878" spans="1:9" x14ac:dyDescent="0.35">
      <c r="A878" t="s">
        <v>3969</v>
      </c>
      <c r="B878" t="str">
        <f>"9780191046056"</f>
        <v>9780191046056</v>
      </c>
      <c r="C878" t="s">
        <v>3972</v>
      </c>
      <c r="D878" t="s">
        <v>3970</v>
      </c>
      <c r="E878" t="s">
        <v>579</v>
      </c>
      <c r="H878" t="s">
        <v>163</v>
      </c>
      <c r="I878" t="s">
        <v>3971</v>
      </c>
    </row>
    <row r="879" spans="1:9" x14ac:dyDescent="0.35">
      <c r="A879" t="s">
        <v>3973</v>
      </c>
      <c r="B879" t="str">
        <f>"9780190221294"</f>
        <v>9780190221294</v>
      </c>
      <c r="C879" t="s">
        <v>3976</v>
      </c>
      <c r="D879" t="s">
        <v>3974</v>
      </c>
      <c r="E879" t="s">
        <v>167</v>
      </c>
      <c r="H879" t="s">
        <v>163</v>
      </c>
      <c r="I879" t="s">
        <v>3975</v>
      </c>
    </row>
    <row r="880" spans="1:9" x14ac:dyDescent="0.35">
      <c r="A880" t="s">
        <v>3977</v>
      </c>
      <c r="B880" t="str">
        <f>"9780821445006"</f>
        <v>9780821445006</v>
      </c>
      <c r="C880" t="s">
        <v>3981</v>
      </c>
      <c r="D880" t="s">
        <v>3979</v>
      </c>
      <c r="E880" t="s">
        <v>3743</v>
      </c>
      <c r="F880" t="s">
        <v>3978</v>
      </c>
      <c r="H880" t="s">
        <v>2300</v>
      </c>
      <c r="I880" t="s">
        <v>3980</v>
      </c>
    </row>
    <row r="881" spans="1:9" x14ac:dyDescent="0.35">
      <c r="A881" t="s">
        <v>3982</v>
      </c>
      <c r="B881" t="str">
        <f>"9781119052197"</f>
        <v>9781119052197</v>
      </c>
      <c r="C881" t="s">
        <v>3985</v>
      </c>
      <c r="D881" t="s">
        <v>3983</v>
      </c>
      <c r="E881" t="s">
        <v>444</v>
      </c>
      <c r="F881" t="s">
        <v>1967</v>
      </c>
      <c r="H881" t="s">
        <v>22</v>
      </c>
      <c r="I881" t="s">
        <v>3984</v>
      </c>
    </row>
    <row r="882" spans="1:9" x14ac:dyDescent="0.35">
      <c r="A882" t="s">
        <v>3986</v>
      </c>
      <c r="B882" t="str">
        <f>"9780813571751"</f>
        <v>9780813571751</v>
      </c>
      <c r="C882" t="s">
        <v>3989</v>
      </c>
      <c r="D882" t="s">
        <v>3987</v>
      </c>
      <c r="E882" t="s">
        <v>366</v>
      </c>
      <c r="H882" t="s">
        <v>22</v>
      </c>
      <c r="I882" t="s">
        <v>3988</v>
      </c>
    </row>
    <row r="883" spans="1:9" x14ac:dyDescent="0.35">
      <c r="A883" t="s">
        <v>3990</v>
      </c>
      <c r="B883" t="str">
        <f>"9781447313519"</f>
        <v>9781447313519</v>
      </c>
      <c r="C883" t="s">
        <v>3993</v>
      </c>
      <c r="D883" t="s">
        <v>3991</v>
      </c>
      <c r="E883" t="s">
        <v>609</v>
      </c>
      <c r="H883" t="s">
        <v>138</v>
      </c>
      <c r="I883" t="s">
        <v>3992</v>
      </c>
    </row>
    <row r="884" spans="1:9" x14ac:dyDescent="0.35">
      <c r="A884" t="s">
        <v>3994</v>
      </c>
      <c r="B884" t="str">
        <f>"9781452942056"</f>
        <v>9781452942056</v>
      </c>
      <c r="C884" t="s">
        <v>3998</v>
      </c>
      <c r="D884" t="s">
        <v>3995</v>
      </c>
      <c r="E884" t="s">
        <v>305</v>
      </c>
      <c r="H884" t="s">
        <v>3996</v>
      </c>
      <c r="I884" t="s">
        <v>3997</v>
      </c>
    </row>
    <row r="885" spans="1:9" x14ac:dyDescent="0.35">
      <c r="A885" t="s">
        <v>3999</v>
      </c>
      <c r="B885" t="str">
        <f>"9780195322750"</f>
        <v>9780195322750</v>
      </c>
      <c r="C885" t="s">
        <v>4003</v>
      </c>
      <c r="D885" t="s">
        <v>4001</v>
      </c>
      <c r="E885" t="s">
        <v>579</v>
      </c>
      <c r="F885" t="s">
        <v>4000</v>
      </c>
      <c r="H885" t="s">
        <v>406</v>
      </c>
      <c r="I885" t="s">
        <v>4002</v>
      </c>
    </row>
    <row r="886" spans="1:9" x14ac:dyDescent="0.35">
      <c r="A886" t="s">
        <v>4004</v>
      </c>
      <c r="B886" t="str">
        <f>"9780861969074"</f>
        <v>9780861969074</v>
      </c>
      <c r="C886" t="s">
        <v>4007</v>
      </c>
      <c r="D886" t="s">
        <v>4005</v>
      </c>
      <c r="E886" t="s">
        <v>110</v>
      </c>
      <c r="H886" t="s">
        <v>86</v>
      </c>
      <c r="I886" t="s">
        <v>4006</v>
      </c>
    </row>
    <row r="887" spans="1:9" x14ac:dyDescent="0.35">
      <c r="A887" t="s">
        <v>4008</v>
      </c>
      <c r="B887" t="str">
        <f>"9781496312747"</f>
        <v>9781496312747</v>
      </c>
      <c r="C887" t="s">
        <v>4012</v>
      </c>
      <c r="D887" t="s">
        <v>4010</v>
      </c>
      <c r="E887" t="s">
        <v>4009</v>
      </c>
      <c r="H887" t="s">
        <v>1111</v>
      </c>
      <c r="I887" t="s">
        <v>4011</v>
      </c>
    </row>
    <row r="888" spans="1:9" x14ac:dyDescent="0.35">
      <c r="A888" t="s">
        <v>4013</v>
      </c>
      <c r="B888" t="str">
        <f>"9780822971030"</f>
        <v>9780822971030</v>
      </c>
      <c r="C888" t="s">
        <v>4018</v>
      </c>
      <c r="D888" t="s">
        <v>4016</v>
      </c>
      <c r="E888" t="s">
        <v>4014</v>
      </c>
      <c r="F888" t="s">
        <v>4015</v>
      </c>
      <c r="H888" t="s">
        <v>625</v>
      </c>
      <c r="I888" t="s">
        <v>4017</v>
      </c>
    </row>
    <row r="889" spans="1:9" x14ac:dyDescent="0.35">
      <c r="A889" t="s">
        <v>4019</v>
      </c>
      <c r="B889" t="str">
        <f>"9780822973430"</f>
        <v>9780822973430</v>
      </c>
      <c r="C889" t="s">
        <v>4022</v>
      </c>
      <c r="D889" t="s">
        <v>4020</v>
      </c>
      <c r="E889" t="s">
        <v>4014</v>
      </c>
      <c r="F889" t="s">
        <v>4015</v>
      </c>
      <c r="H889" t="s">
        <v>147</v>
      </c>
      <c r="I889" t="s">
        <v>4021</v>
      </c>
    </row>
    <row r="890" spans="1:9" x14ac:dyDescent="0.35">
      <c r="A890" t="s">
        <v>4023</v>
      </c>
      <c r="B890" t="str">
        <f>"9780822979500"</f>
        <v>9780822979500</v>
      </c>
      <c r="C890" t="s">
        <v>4026</v>
      </c>
      <c r="D890" t="s">
        <v>4024</v>
      </c>
      <c r="E890" t="s">
        <v>4014</v>
      </c>
      <c r="H890" t="s">
        <v>22</v>
      </c>
      <c r="I890" t="s">
        <v>4025</v>
      </c>
    </row>
    <row r="891" spans="1:9" x14ac:dyDescent="0.35">
      <c r="A891" t="s">
        <v>4027</v>
      </c>
      <c r="B891" t="str">
        <f>"9789048522866"</f>
        <v>9789048522866</v>
      </c>
      <c r="C891" t="s">
        <v>4031</v>
      </c>
      <c r="D891" t="s">
        <v>4029</v>
      </c>
      <c r="E891" t="s">
        <v>622</v>
      </c>
      <c r="F891" t="s">
        <v>4028</v>
      </c>
      <c r="H891" t="s">
        <v>22</v>
      </c>
      <c r="I891" t="s">
        <v>4030</v>
      </c>
    </row>
    <row r="892" spans="1:9" x14ac:dyDescent="0.35">
      <c r="A892" t="s">
        <v>4032</v>
      </c>
      <c r="B892" t="str">
        <f>"9781854188359"</f>
        <v>9781854188359</v>
      </c>
      <c r="C892" t="s">
        <v>4036</v>
      </c>
      <c r="D892" t="s">
        <v>4034</v>
      </c>
      <c r="E892" t="s">
        <v>4033</v>
      </c>
      <c r="H892" t="s">
        <v>2511</v>
      </c>
      <c r="I892" t="s">
        <v>4035</v>
      </c>
    </row>
    <row r="893" spans="1:9" x14ac:dyDescent="0.35">
      <c r="A893" t="s">
        <v>4037</v>
      </c>
      <c r="B893" t="str">
        <f>"9781611172034"</f>
        <v>9781611172034</v>
      </c>
      <c r="C893" t="s">
        <v>4041</v>
      </c>
      <c r="D893" t="s">
        <v>4039</v>
      </c>
      <c r="E893" t="s">
        <v>4038</v>
      </c>
      <c r="H893" t="s">
        <v>75</v>
      </c>
      <c r="I893" t="s">
        <v>4040</v>
      </c>
    </row>
    <row r="894" spans="1:9" x14ac:dyDescent="0.35">
      <c r="A894" t="s">
        <v>4042</v>
      </c>
      <c r="B894" t="str">
        <f>"9781611172928"</f>
        <v>9781611172928</v>
      </c>
      <c r="C894" t="s">
        <v>4045</v>
      </c>
      <c r="D894" t="s">
        <v>4043</v>
      </c>
      <c r="E894" t="s">
        <v>4038</v>
      </c>
      <c r="H894" t="s">
        <v>75</v>
      </c>
      <c r="I894" t="s">
        <v>4044</v>
      </c>
    </row>
    <row r="895" spans="1:9" x14ac:dyDescent="0.35">
      <c r="A895" t="s">
        <v>4046</v>
      </c>
      <c r="B895" t="str">
        <f>"9781498504478"</f>
        <v>9781498504478</v>
      </c>
      <c r="C895" t="s">
        <v>4049</v>
      </c>
      <c r="D895" t="s">
        <v>4047</v>
      </c>
      <c r="E895" t="s">
        <v>887</v>
      </c>
      <c r="H895" t="s">
        <v>22</v>
      </c>
      <c r="I895" t="s">
        <v>4048</v>
      </c>
    </row>
    <row r="896" spans="1:9" x14ac:dyDescent="0.35">
      <c r="A896" t="s">
        <v>4050</v>
      </c>
      <c r="B896" t="str">
        <f>"9789004299009"</f>
        <v>9789004299009</v>
      </c>
      <c r="C896" t="s">
        <v>4054</v>
      </c>
      <c r="D896" t="s">
        <v>4052</v>
      </c>
      <c r="E896" t="s">
        <v>901</v>
      </c>
      <c r="F896" t="s">
        <v>4051</v>
      </c>
      <c r="H896" t="s">
        <v>147</v>
      </c>
      <c r="I896" t="s">
        <v>4053</v>
      </c>
    </row>
    <row r="897" spans="1:9" x14ac:dyDescent="0.35">
      <c r="A897" t="s">
        <v>4055</v>
      </c>
      <c r="B897" t="str">
        <f>"9781498508698"</f>
        <v>9781498508698</v>
      </c>
      <c r="C897" t="s">
        <v>4058</v>
      </c>
      <c r="D897" t="s">
        <v>4056</v>
      </c>
      <c r="E897" t="s">
        <v>887</v>
      </c>
      <c r="H897" t="s">
        <v>22</v>
      </c>
      <c r="I897" t="s">
        <v>4057</v>
      </c>
    </row>
    <row r="898" spans="1:9" x14ac:dyDescent="0.35">
      <c r="A898" t="s">
        <v>4059</v>
      </c>
      <c r="B898" t="str">
        <f>"9781443878951"</f>
        <v>9781443878951</v>
      </c>
      <c r="C898" t="s">
        <v>4062</v>
      </c>
      <c r="D898" t="s">
        <v>4060</v>
      </c>
      <c r="E898" t="s">
        <v>2729</v>
      </c>
      <c r="H898" t="s">
        <v>22</v>
      </c>
      <c r="I898" t="s">
        <v>4061</v>
      </c>
    </row>
    <row r="899" spans="1:9" x14ac:dyDescent="0.35">
      <c r="A899" t="s">
        <v>4063</v>
      </c>
      <c r="B899" t="str">
        <f>"9781443879217"</f>
        <v>9781443879217</v>
      </c>
      <c r="C899" t="s">
        <v>4066</v>
      </c>
      <c r="D899" t="s">
        <v>4064</v>
      </c>
      <c r="E899" t="s">
        <v>2729</v>
      </c>
      <c r="H899" t="s">
        <v>163</v>
      </c>
      <c r="I899" t="s">
        <v>4065</v>
      </c>
    </row>
    <row r="900" spans="1:9" x14ac:dyDescent="0.35">
      <c r="A900" t="s">
        <v>4067</v>
      </c>
      <c r="B900" t="str">
        <f>"9781443873932"</f>
        <v>9781443873932</v>
      </c>
      <c r="C900" t="s">
        <v>4070</v>
      </c>
      <c r="D900" t="s">
        <v>4068</v>
      </c>
      <c r="E900" t="s">
        <v>2729</v>
      </c>
      <c r="H900" t="s">
        <v>519</v>
      </c>
      <c r="I900" t="s">
        <v>4069</v>
      </c>
    </row>
    <row r="901" spans="1:9" x14ac:dyDescent="0.35">
      <c r="A901" t="s">
        <v>4071</v>
      </c>
      <c r="B901" t="str">
        <f>"9781443875172"</f>
        <v>9781443875172</v>
      </c>
      <c r="C901" t="s">
        <v>4074</v>
      </c>
      <c r="D901" t="s">
        <v>4072</v>
      </c>
      <c r="E901" t="s">
        <v>2729</v>
      </c>
      <c r="H901" t="s">
        <v>22</v>
      </c>
      <c r="I901" t="s">
        <v>4073</v>
      </c>
    </row>
    <row r="902" spans="1:9" x14ac:dyDescent="0.35">
      <c r="A902" t="s">
        <v>4075</v>
      </c>
      <c r="B902" t="str">
        <f>"9780814789919"</f>
        <v>9780814789919</v>
      </c>
      <c r="C902" t="s">
        <v>4079</v>
      </c>
      <c r="D902" t="s">
        <v>4077</v>
      </c>
      <c r="E902" t="s">
        <v>2104</v>
      </c>
      <c r="F902" t="s">
        <v>4076</v>
      </c>
      <c r="H902" t="s">
        <v>22</v>
      </c>
      <c r="I902" t="s">
        <v>4078</v>
      </c>
    </row>
    <row r="903" spans="1:9" x14ac:dyDescent="0.35">
      <c r="A903" t="s">
        <v>4080</v>
      </c>
      <c r="B903" t="str">
        <f>"9781780234731"</f>
        <v>9781780234731</v>
      </c>
      <c r="C903" t="s">
        <v>4083</v>
      </c>
      <c r="D903" t="s">
        <v>4081</v>
      </c>
      <c r="E903" t="s">
        <v>2043</v>
      </c>
      <c r="H903" t="s">
        <v>22</v>
      </c>
      <c r="I903" t="s">
        <v>4082</v>
      </c>
    </row>
    <row r="904" spans="1:9" x14ac:dyDescent="0.35">
      <c r="A904" t="s">
        <v>4084</v>
      </c>
      <c r="B904" t="str">
        <f>"9780128017470"</f>
        <v>9780128017470</v>
      </c>
      <c r="C904" t="s">
        <v>4089</v>
      </c>
      <c r="D904" t="s">
        <v>4086</v>
      </c>
      <c r="E904" t="s">
        <v>4085</v>
      </c>
      <c r="H904" t="s">
        <v>4087</v>
      </c>
      <c r="I904" t="s">
        <v>4088</v>
      </c>
    </row>
    <row r="905" spans="1:9" x14ac:dyDescent="0.35">
      <c r="A905" t="s">
        <v>4090</v>
      </c>
      <c r="B905" t="str">
        <f>"9789401200684"</f>
        <v>9789401200684</v>
      </c>
      <c r="C905" t="s">
        <v>4093</v>
      </c>
      <c r="D905" t="s">
        <v>4092</v>
      </c>
      <c r="E905" t="s">
        <v>901</v>
      </c>
      <c r="F905" t="s">
        <v>4091</v>
      </c>
      <c r="H905" t="s">
        <v>22</v>
      </c>
      <c r="I905" t="s">
        <v>3425</v>
      </c>
    </row>
    <row r="906" spans="1:9" x14ac:dyDescent="0.35">
      <c r="A906" t="s">
        <v>4094</v>
      </c>
      <c r="B906" t="str">
        <f>"9780253004741"</f>
        <v>9780253004741</v>
      </c>
      <c r="C906" t="s">
        <v>4097</v>
      </c>
      <c r="D906" t="s">
        <v>4095</v>
      </c>
      <c r="E906" t="s">
        <v>110</v>
      </c>
      <c r="H906" t="s">
        <v>22</v>
      </c>
      <c r="I906" t="s">
        <v>4096</v>
      </c>
    </row>
    <row r="907" spans="1:9" x14ac:dyDescent="0.35">
      <c r="A907" t="s">
        <v>4098</v>
      </c>
      <c r="B907" t="str">
        <f>"9780253005212"</f>
        <v>9780253005212</v>
      </c>
      <c r="C907" t="s">
        <v>4102</v>
      </c>
      <c r="D907" t="s">
        <v>4099</v>
      </c>
      <c r="E907" t="s">
        <v>110</v>
      </c>
      <c r="H907" t="s">
        <v>4100</v>
      </c>
      <c r="I907" t="s">
        <v>4101</v>
      </c>
    </row>
    <row r="908" spans="1:9" x14ac:dyDescent="0.35">
      <c r="A908" t="s">
        <v>4103</v>
      </c>
      <c r="B908" t="str">
        <f>"9781783200832"</f>
        <v>9781783200832</v>
      </c>
      <c r="C908" t="s">
        <v>4106</v>
      </c>
      <c r="D908" t="s">
        <v>4104</v>
      </c>
      <c r="E908" t="s">
        <v>479</v>
      </c>
      <c r="H908" t="s">
        <v>22</v>
      </c>
      <c r="I908" t="s">
        <v>4105</v>
      </c>
    </row>
    <row r="909" spans="1:9" x14ac:dyDescent="0.35">
      <c r="A909" t="s">
        <v>4107</v>
      </c>
      <c r="B909" t="str">
        <f>"9781593321079"</f>
        <v>9781593321079</v>
      </c>
      <c r="C909" t="s">
        <v>4110</v>
      </c>
      <c r="D909" t="s">
        <v>4108</v>
      </c>
      <c r="E909" t="s">
        <v>2014</v>
      </c>
      <c r="H909" t="s">
        <v>22</v>
      </c>
      <c r="I909" t="s">
        <v>4109</v>
      </c>
    </row>
    <row r="910" spans="1:9" x14ac:dyDescent="0.35">
      <c r="A910" t="s">
        <v>4111</v>
      </c>
      <c r="B910" t="str">
        <f>"9781593322793"</f>
        <v>9781593322793</v>
      </c>
      <c r="C910" t="s">
        <v>4114</v>
      </c>
      <c r="D910" t="s">
        <v>4112</v>
      </c>
      <c r="E910" t="s">
        <v>2014</v>
      </c>
      <c r="H910" t="s">
        <v>64</v>
      </c>
      <c r="I910" t="s">
        <v>4113</v>
      </c>
    </row>
    <row r="911" spans="1:9" x14ac:dyDescent="0.35">
      <c r="A911" t="s">
        <v>4115</v>
      </c>
      <c r="B911" t="str">
        <f>"9781593321840"</f>
        <v>9781593321840</v>
      </c>
      <c r="C911" t="s">
        <v>4118</v>
      </c>
      <c r="D911" t="s">
        <v>4116</v>
      </c>
      <c r="E911" t="s">
        <v>2014</v>
      </c>
      <c r="H911" t="s">
        <v>22</v>
      </c>
      <c r="I911" t="s">
        <v>4117</v>
      </c>
    </row>
    <row r="912" spans="1:9" x14ac:dyDescent="0.35">
      <c r="A912" t="s">
        <v>4119</v>
      </c>
      <c r="B912" t="str">
        <f>"9781593324216"</f>
        <v>9781593324216</v>
      </c>
      <c r="C912" t="s">
        <v>4123</v>
      </c>
      <c r="D912" t="s">
        <v>4121</v>
      </c>
      <c r="E912" t="s">
        <v>2014</v>
      </c>
      <c r="F912" t="s">
        <v>4120</v>
      </c>
      <c r="H912" t="s">
        <v>625</v>
      </c>
      <c r="I912" t="s">
        <v>4122</v>
      </c>
    </row>
    <row r="913" spans="1:9" x14ac:dyDescent="0.35">
      <c r="A913" t="s">
        <v>4124</v>
      </c>
      <c r="B913" t="str">
        <f>"9781617612220"</f>
        <v>9781617612220</v>
      </c>
      <c r="C913" t="s">
        <v>4129</v>
      </c>
      <c r="D913" t="s">
        <v>4127</v>
      </c>
      <c r="E913" t="s">
        <v>4125</v>
      </c>
      <c r="F913" t="s">
        <v>4126</v>
      </c>
      <c r="H913" t="s">
        <v>1147</v>
      </c>
      <c r="I913" t="s">
        <v>4128</v>
      </c>
    </row>
    <row r="914" spans="1:9" x14ac:dyDescent="0.35">
      <c r="A914" t="s">
        <v>4130</v>
      </c>
      <c r="B914" t="str">
        <f>"9781608767793"</f>
        <v>9781608767793</v>
      </c>
      <c r="C914" t="s">
        <v>4134</v>
      </c>
      <c r="D914" t="s">
        <v>4132</v>
      </c>
      <c r="E914" t="s">
        <v>4125</v>
      </c>
      <c r="F914" t="s">
        <v>4131</v>
      </c>
      <c r="H914" t="s">
        <v>397</v>
      </c>
      <c r="I914" t="s">
        <v>4133</v>
      </c>
    </row>
    <row r="915" spans="1:9" x14ac:dyDescent="0.35">
      <c r="A915" t="s">
        <v>4135</v>
      </c>
      <c r="B915" t="str">
        <f>"9781608765614"</f>
        <v>9781608765614</v>
      </c>
      <c r="C915" t="s">
        <v>4138</v>
      </c>
      <c r="D915" t="s">
        <v>4136</v>
      </c>
      <c r="E915" t="s">
        <v>4125</v>
      </c>
      <c r="H915" t="s">
        <v>22</v>
      </c>
      <c r="I915" t="s">
        <v>4137</v>
      </c>
    </row>
    <row r="916" spans="1:9" x14ac:dyDescent="0.35">
      <c r="A916" t="s">
        <v>4139</v>
      </c>
      <c r="B916" t="str">
        <f>"9781612093888"</f>
        <v>9781612093888</v>
      </c>
      <c r="C916" t="s">
        <v>4142</v>
      </c>
      <c r="D916" t="s">
        <v>4140</v>
      </c>
      <c r="E916" t="s">
        <v>4125</v>
      </c>
      <c r="H916" t="s">
        <v>1111</v>
      </c>
      <c r="I916" t="s">
        <v>4141</v>
      </c>
    </row>
    <row r="917" spans="1:9" x14ac:dyDescent="0.35">
      <c r="A917" t="s">
        <v>4143</v>
      </c>
      <c r="B917" t="str">
        <f>"9781612096070"</f>
        <v>9781612096070</v>
      </c>
      <c r="C917" t="s">
        <v>4147</v>
      </c>
      <c r="D917" t="s">
        <v>4145</v>
      </c>
      <c r="E917" t="s">
        <v>4125</v>
      </c>
      <c r="F917" t="s">
        <v>4144</v>
      </c>
      <c r="H917" t="s">
        <v>397</v>
      </c>
      <c r="I917" t="s">
        <v>4146</v>
      </c>
    </row>
    <row r="918" spans="1:9" x14ac:dyDescent="0.35">
      <c r="A918" t="s">
        <v>4148</v>
      </c>
      <c r="B918" t="str">
        <f>"9781613246979"</f>
        <v>9781613246979</v>
      </c>
      <c r="C918" t="s">
        <v>4152</v>
      </c>
      <c r="D918" t="s">
        <v>4150</v>
      </c>
      <c r="E918" t="s">
        <v>4125</v>
      </c>
      <c r="F918" t="s">
        <v>4149</v>
      </c>
      <c r="H918" t="s">
        <v>22</v>
      </c>
      <c r="I918" t="s">
        <v>4151</v>
      </c>
    </row>
    <row r="919" spans="1:9" x14ac:dyDescent="0.35">
      <c r="A919" t="s">
        <v>4153</v>
      </c>
      <c r="B919" t="str">
        <f>"9781617285370"</f>
        <v>9781617285370</v>
      </c>
      <c r="C919" t="s">
        <v>4156</v>
      </c>
      <c r="D919" t="s">
        <v>4154</v>
      </c>
      <c r="E919" t="s">
        <v>4125</v>
      </c>
      <c r="H919" t="s">
        <v>1111</v>
      </c>
      <c r="I919" t="s">
        <v>4155</v>
      </c>
    </row>
    <row r="920" spans="1:9" x14ac:dyDescent="0.35">
      <c r="A920" t="s">
        <v>4157</v>
      </c>
      <c r="B920" t="str">
        <f>"9781620815533"</f>
        <v>9781620815533</v>
      </c>
      <c r="C920" t="s">
        <v>4161</v>
      </c>
      <c r="D920" t="s">
        <v>4159</v>
      </c>
      <c r="E920" t="s">
        <v>4125</v>
      </c>
      <c r="F920" t="s">
        <v>4158</v>
      </c>
      <c r="H920" t="s">
        <v>197</v>
      </c>
      <c r="I920" t="s">
        <v>4160</v>
      </c>
    </row>
    <row r="921" spans="1:9" x14ac:dyDescent="0.35">
      <c r="A921" t="s">
        <v>4162</v>
      </c>
      <c r="B921" t="str">
        <f>"9781624171864"</f>
        <v>9781624171864</v>
      </c>
      <c r="C921" t="s">
        <v>4165</v>
      </c>
      <c r="D921" t="s">
        <v>4163</v>
      </c>
      <c r="E921" t="s">
        <v>4125</v>
      </c>
      <c r="F921" t="s">
        <v>4144</v>
      </c>
      <c r="H921" t="s">
        <v>1414</v>
      </c>
      <c r="I921" t="s">
        <v>4164</v>
      </c>
    </row>
    <row r="922" spans="1:9" x14ac:dyDescent="0.35">
      <c r="A922" t="s">
        <v>4166</v>
      </c>
      <c r="B922" t="str">
        <f>"9781620817797"</f>
        <v>9781620817797</v>
      </c>
      <c r="C922" t="s">
        <v>4170</v>
      </c>
      <c r="D922" t="s">
        <v>4168</v>
      </c>
      <c r="E922" t="s">
        <v>4125</v>
      </c>
      <c r="F922" t="s">
        <v>4167</v>
      </c>
      <c r="H922" t="s">
        <v>22</v>
      </c>
      <c r="I922" t="s">
        <v>4169</v>
      </c>
    </row>
    <row r="923" spans="1:9" x14ac:dyDescent="0.35">
      <c r="A923" t="s">
        <v>4171</v>
      </c>
      <c r="B923" t="str">
        <f>"9780814708989"</f>
        <v>9780814708989</v>
      </c>
      <c r="C923" t="s">
        <v>4174</v>
      </c>
      <c r="D923" t="s">
        <v>4172</v>
      </c>
      <c r="E923" t="s">
        <v>2104</v>
      </c>
      <c r="H923" t="s">
        <v>22</v>
      </c>
      <c r="I923" t="s">
        <v>4173</v>
      </c>
    </row>
    <row r="924" spans="1:9" x14ac:dyDescent="0.35">
      <c r="A924" t="s">
        <v>4175</v>
      </c>
      <c r="B924" t="str">
        <f>"9780814762530"</f>
        <v>9780814762530</v>
      </c>
      <c r="C924" t="s">
        <v>4178</v>
      </c>
      <c r="D924" t="s">
        <v>4176</v>
      </c>
      <c r="E924" t="s">
        <v>2104</v>
      </c>
      <c r="H924" t="s">
        <v>22</v>
      </c>
      <c r="I924" t="s">
        <v>4177</v>
      </c>
    </row>
    <row r="925" spans="1:9" x14ac:dyDescent="0.35">
      <c r="A925" t="s">
        <v>4179</v>
      </c>
      <c r="B925" t="str">
        <f>"9780804040150"</f>
        <v>9780804040150</v>
      </c>
      <c r="C925" t="s">
        <v>4183</v>
      </c>
      <c r="D925" t="s">
        <v>4181</v>
      </c>
      <c r="E925" t="s">
        <v>4180</v>
      </c>
      <c r="H925" t="s">
        <v>22</v>
      </c>
      <c r="I925" t="s">
        <v>4182</v>
      </c>
    </row>
    <row r="926" spans="1:9" x14ac:dyDescent="0.35">
      <c r="A926" t="s">
        <v>4184</v>
      </c>
      <c r="B926" t="str">
        <f>"9780896804388"</f>
        <v>9780896804388</v>
      </c>
      <c r="C926" t="s">
        <v>4188</v>
      </c>
      <c r="D926" t="s">
        <v>4186</v>
      </c>
      <c r="E926" t="s">
        <v>4185</v>
      </c>
      <c r="H926" t="s">
        <v>75</v>
      </c>
      <c r="I926" t="s">
        <v>4187</v>
      </c>
    </row>
    <row r="927" spans="1:9" x14ac:dyDescent="0.35">
      <c r="A927" t="s">
        <v>4189</v>
      </c>
      <c r="B927" t="str">
        <f>"9780821442005"</f>
        <v>9780821442005</v>
      </c>
      <c r="C927" t="s">
        <v>4192</v>
      </c>
      <c r="D927" t="s">
        <v>4190</v>
      </c>
      <c r="E927" t="s">
        <v>3743</v>
      </c>
      <c r="H927" t="s">
        <v>147</v>
      </c>
      <c r="I927" t="s">
        <v>4191</v>
      </c>
    </row>
    <row r="928" spans="1:9" x14ac:dyDescent="0.35">
      <c r="A928" t="s">
        <v>4193</v>
      </c>
      <c r="B928" t="str">
        <f>"9781403984616"</f>
        <v>9781403984616</v>
      </c>
      <c r="C928" t="s">
        <v>4195</v>
      </c>
      <c r="D928" t="s">
        <v>249</v>
      </c>
      <c r="E928" t="s">
        <v>231</v>
      </c>
      <c r="H928" t="s">
        <v>22</v>
      </c>
      <c r="I928" t="s">
        <v>4194</v>
      </c>
    </row>
    <row r="929" spans="1:9" x14ac:dyDescent="0.35">
      <c r="A929" t="s">
        <v>4196</v>
      </c>
      <c r="B929" t="str">
        <f>"9781933149417"</f>
        <v>9781933149417</v>
      </c>
      <c r="C929" t="s">
        <v>4200</v>
      </c>
      <c r="D929" t="s">
        <v>4198</v>
      </c>
      <c r="E929" t="s">
        <v>4197</v>
      </c>
      <c r="H929" t="s">
        <v>147</v>
      </c>
      <c r="I929" t="s">
        <v>4199</v>
      </c>
    </row>
    <row r="930" spans="1:9" x14ac:dyDescent="0.35">
      <c r="A930" t="s">
        <v>4201</v>
      </c>
      <c r="B930" t="str">
        <f>"9789462090019"</f>
        <v>9789462090019</v>
      </c>
      <c r="C930" t="s">
        <v>4204</v>
      </c>
      <c r="D930" t="s">
        <v>4202</v>
      </c>
      <c r="E930" t="s">
        <v>901</v>
      </c>
      <c r="H930" t="s">
        <v>209</v>
      </c>
      <c r="I930" t="s">
        <v>4203</v>
      </c>
    </row>
    <row r="931" spans="1:9" x14ac:dyDescent="0.35">
      <c r="A931" t="s">
        <v>4205</v>
      </c>
      <c r="B931" t="str">
        <f>"9789462091375"</f>
        <v>9789462091375</v>
      </c>
      <c r="C931" t="s">
        <v>4209</v>
      </c>
      <c r="D931" t="s">
        <v>4207</v>
      </c>
      <c r="E931" t="s">
        <v>901</v>
      </c>
      <c r="F931" t="s">
        <v>4206</v>
      </c>
      <c r="H931" t="s">
        <v>209</v>
      </c>
      <c r="I931" t="s">
        <v>4208</v>
      </c>
    </row>
    <row r="932" spans="1:9" x14ac:dyDescent="0.35">
      <c r="A932" t="s">
        <v>4210</v>
      </c>
      <c r="B932" t="str">
        <f>"9789462093058"</f>
        <v>9789462093058</v>
      </c>
      <c r="C932" t="s">
        <v>4214</v>
      </c>
      <c r="D932" t="s">
        <v>4212</v>
      </c>
      <c r="E932" t="s">
        <v>901</v>
      </c>
      <c r="F932" t="s">
        <v>4211</v>
      </c>
      <c r="H932" t="s">
        <v>1313</v>
      </c>
      <c r="I932" t="s">
        <v>4213</v>
      </c>
    </row>
    <row r="933" spans="1:9" x14ac:dyDescent="0.35">
      <c r="A933" t="s">
        <v>4215</v>
      </c>
      <c r="B933" t="str">
        <f>"9789462095755"</f>
        <v>9789462095755</v>
      </c>
      <c r="C933" t="s">
        <v>4220</v>
      </c>
      <c r="D933" t="s">
        <v>4217</v>
      </c>
      <c r="E933" t="s">
        <v>901</v>
      </c>
      <c r="F933" t="s">
        <v>4216</v>
      </c>
      <c r="H933" t="s">
        <v>4218</v>
      </c>
      <c r="I933" t="s">
        <v>4219</v>
      </c>
    </row>
    <row r="934" spans="1:9" x14ac:dyDescent="0.35">
      <c r="A934" t="s">
        <v>4221</v>
      </c>
      <c r="B934" t="str">
        <f>"9781439902684"</f>
        <v>9781439902684</v>
      </c>
      <c r="C934" t="s">
        <v>4224</v>
      </c>
      <c r="D934" t="s">
        <v>4222</v>
      </c>
      <c r="E934" t="s">
        <v>1676</v>
      </c>
      <c r="H934" t="s">
        <v>170</v>
      </c>
      <c r="I934" t="s">
        <v>4223</v>
      </c>
    </row>
    <row r="935" spans="1:9" x14ac:dyDescent="0.35">
      <c r="A935" t="s">
        <v>4225</v>
      </c>
      <c r="B935" t="str">
        <f>"9780820336510"</f>
        <v>9780820336510</v>
      </c>
      <c r="C935" t="s">
        <v>4229</v>
      </c>
      <c r="D935" t="s">
        <v>4227</v>
      </c>
      <c r="E935" t="s">
        <v>4226</v>
      </c>
      <c r="H935" t="s">
        <v>147</v>
      </c>
      <c r="I935" t="s">
        <v>4228</v>
      </c>
    </row>
    <row r="936" spans="1:9" x14ac:dyDescent="0.35">
      <c r="A936" t="s">
        <v>4230</v>
      </c>
      <c r="B936" t="str">
        <f>"9780820336701"</f>
        <v>9780820336701</v>
      </c>
      <c r="C936" t="s">
        <v>4233</v>
      </c>
      <c r="D936" t="s">
        <v>4231</v>
      </c>
      <c r="E936" t="s">
        <v>4226</v>
      </c>
      <c r="H936" t="s">
        <v>22</v>
      </c>
      <c r="I936" t="s">
        <v>4232</v>
      </c>
    </row>
    <row r="937" spans="1:9" x14ac:dyDescent="0.35">
      <c r="A937" t="s">
        <v>4234</v>
      </c>
      <c r="B937" t="str">
        <f>"9780820339016"</f>
        <v>9780820339016</v>
      </c>
      <c r="C937" t="s">
        <v>4238</v>
      </c>
      <c r="D937" t="s">
        <v>4236</v>
      </c>
      <c r="E937" t="s">
        <v>4226</v>
      </c>
      <c r="F937" t="s">
        <v>4235</v>
      </c>
      <c r="H937" t="s">
        <v>38</v>
      </c>
      <c r="I937" t="s">
        <v>4237</v>
      </c>
    </row>
    <row r="938" spans="1:9" x14ac:dyDescent="0.35">
      <c r="A938" t="s">
        <v>4239</v>
      </c>
      <c r="B938" t="str">
        <f>"9789280871777"</f>
        <v>9789280871777</v>
      </c>
      <c r="C938" t="s">
        <v>4243</v>
      </c>
      <c r="D938" t="s">
        <v>4241</v>
      </c>
      <c r="E938" t="s">
        <v>4240</v>
      </c>
      <c r="H938" t="s">
        <v>22</v>
      </c>
      <c r="I938" t="s">
        <v>4242</v>
      </c>
    </row>
    <row r="939" spans="1:9" x14ac:dyDescent="0.35">
      <c r="A939" t="s">
        <v>4244</v>
      </c>
      <c r="B939" t="str">
        <f>"9781626740662"</f>
        <v>9781626740662</v>
      </c>
      <c r="C939" t="s">
        <v>4247</v>
      </c>
      <c r="D939" t="s">
        <v>4245</v>
      </c>
      <c r="E939" t="s">
        <v>1166</v>
      </c>
      <c r="H939" t="s">
        <v>854</v>
      </c>
      <c r="I939" t="s">
        <v>4246</v>
      </c>
    </row>
    <row r="940" spans="1:9" x14ac:dyDescent="0.35">
      <c r="A940" t="s">
        <v>4248</v>
      </c>
      <c r="B940" t="str">
        <f>"9781626745292"</f>
        <v>9781626745292</v>
      </c>
      <c r="C940" t="s">
        <v>4251</v>
      </c>
      <c r="D940" t="s">
        <v>4249</v>
      </c>
      <c r="E940" t="s">
        <v>1166</v>
      </c>
      <c r="H940" t="s">
        <v>75</v>
      </c>
      <c r="I940" t="s">
        <v>4250</v>
      </c>
    </row>
    <row r="941" spans="1:9" x14ac:dyDescent="0.35">
      <c r="A941" t="s">
        <v>4252</v>
      </c>
      <c r="B941" t="str">
        <f>"9781443876865"</f>
        <v>9781443876865</v>
      </c>
      <c r="C941" t="s">
        <v>4254</v>
      </c>
      <c r="D941" t="s">
        <v>4253</v>
      </c>
      <c r="E941" t="s">
        <v>2729</v>
      </c>
      <c r="H941" t="s">
        <v>22</v>
      </c>
      <c r="I941" t="s">
        <v>3425</v>
      </c>
    </row>
    <row r="942" spans="1:9" x14ac:dyDescent="0.35">
      <c r="A942" t="s">
        <v>4255</v>
      </c>
      <c r="B942" t="str">
        <f>"9780198036630"</f>
        <v>9780198036630</v>
      </c>
      <c r="C942" t="s">
        <v>4258</v>
      </c>
      <c r="D942" t="s">
        <v>4256</v>
      </c>
      <c r="E942" t="s">
        <v>603</v>
      </c>
      <c r="F942" t="s">
        <v>824</v>
      </c>
      <c r="H942" t="s">
        <v>22</v>
      </c>
      <c r="I942" t="s">
        <v>4257</v>
      </c>
    </row>
    <row r="943" spans="1:9" x14ac:dyDescent="0.35">
      <c r="A943" t="s">
        <v>4259</v>
      </c>
      <c r="B943" t="str">
        <f>"9781844657759"</f>
        <v>9781844657759</v>
      </c>
      <c r="C943" t="s">
        <v>4263</v>
      </c>
      <c r="D943" t="s">
        <v>4261</v>
      </c>
      <c r="E943" t="s">
        <v>9</v>
      </c>
      <c r="F943" t="s">
        <v>4260</v>
      </c>
      <c r="H943" t="s">
        <v>163</v>
      </c>
      <c r="I943" t="s">
        <v>4262</v>
      </c>
    </row>
    <row r="944" spans="1:9" x14ac:dyDescent="0.35">
      <c r="A944" t="s">
        <v>4264</v>
      </c>
      <c r="B944" t="str">
        <f>"9780838642795"</f>
        <v>9780838642795</v>
      </c>
      <c r="C944" t="s">
        <v>4267</v>
      </c>
      <c r="D944" t="s">
        <v>4265</v>
      </c>
      <c r="E944" t="s">
        <v>2061</v>
      </c>
      <c r="H944" t="s">
        <v>147</v>
      </c>
      <c r="I944" t="s">
        <v>4266</v>
      </c>
    </row>
    <row r="945" spans="1:9" x14ac:dyDescent="0.35">
      <c r="A945" t="s">
        <v>4268</v>
      </c>
      <c r="B945" t="str">
        <f>"9780838643310"</f>
        <v>9780838643310</v>
      </c>
      <c r="C945" t="s">
        <v>4271</v>
      </c>
      <c r="D945" t="s">
        <v>4269</v>
      </c>
      <c r="E945" t="s">
        <v>2061</v>
      </c>
      <c r="H945" t="s">
        <v>854</v>
      </c>
      <c r="I945" t="s">
        <v>4270</v>
      </c>
    </row>
    <row r="946" spans="1:9" x14ac:dyDescent="0.35">
      <c r="A946" t="s">
        <v>4272</v>
      </c>
      <c r="B946" t="str">
        <f>"9781575911762"</f>
        <v>9781575911762</v>
      </c>
      <c r="C946" t="s">
        <v>4277</v>
      </c>
      <c r="D946" t="s">
        <v>4274</v>
      </c>
      <c r="E946" t="s">
        <v>4273</v>
      </c>
      <c r="H946" t="s">
        <v>4275</v>
      </c>
      <c r="I946" t="s">
        <v>4276</v>
      </c>
    </row>
    <row r="947" spans="1:9" x14ac:dyDescent="0.35">
      <c r="A947" t="s">
        <v>4278</v>
      </c>
      <c r="B947" t="str">
        <f>"9780838759240"</f>
        <v>9780838759240</v>
      </c>
      <c r="C947" t="s">
        <v>4281</v>
      </c>
      <c r="D947" t="s">
        <v>4279</v>
      </c>
      <c r="E947" t="s">
        <v>1726</v>
      </c>
      <c r="H947" t="s">
        <v>147</v>
      </c>
      <c r="I947" t="s">
        <v>4280</v>
      </c>
    </row>
    <row r="948" spans="1:9" x14ac:dyDescent="0.35">
      <c r="A948" t="s">
        <v>4282</v>
      </c>
      <c r="B948" t="str">
        <f>"9780838644560"</f>
        <v>9780838644560</v>
      </c>
      <c r="C948" t="s">
        <v>4285</v>
      </c>
      <c r="D948" t="s">
        <v>4283</v>
      </c>
      <c r="E948" t="s">
        <v>2061</v>
      </c>
      <c r="H948" t="s">
        <v>147</v>
      </c>
      <c r="I948" t="s">
        <v>4284</v>
      </c>
    </row>
    <row r="949" spans="1:9" x14ac:dyDescent="0.35">
      <c r="A949" t="s">
        <v>4286</v>
      </c>
      <c r="B949" t="str">
        <f>"9780807079676"</f>
        <v>9780807079676</v>
      </c>
      <c r="C949" t="s">
        <v>4290</v>
      </c>
      <c r="D949" t="s">
        <v>4288</v>
      </c>
      <c r="E949" t="s">
        <v>4287</v>
      </c>
      <c r="H949" t="s">
        <v>22</v>
      </c>
      <c r="I949" t="s">
        <v>4289</v>
      </c>
    </row>
    <row r="950" spans="1:9" x14ac:dyDescent="0.35">
      <c r="A950" t="s">
        <v>4291</v>
      </c>
      <c r="B950" t="str">
        <f>"9780807044346"</f>
        <v>9780807044346</v>
      </c>
      <c r="C950" t="s">
        <v>4294</v>
      </c>
      <c r="D950" t="s">
        <v>4292</v>
      </c>
      <c r="E950" t="s">
        <v>4287</v>
      </c>
      <c r="H950" t="s">
        <v>397</v>
      </c>
      <c r="I950" t="s">
        <v>4293</v>
      </c>
    </row>
    <row r="951" spans="1:9" x14ac:dyDescent="0.35">
      <c r="A951" t="s">
        <v>4295</v>
      </c>
      <c r="B951" t="str">
        <f>"9780807097588"</f>
        <v>9780807097588</v>
      </c>
      <c r="C951" t="s">
        <v>4298</v>
      </c>
      <c r="D951" t="s">
        <v>4296</v>
      </c>
      <c r="E951" t="s">
        <v>4287</v>
      </c>
      <c r="H951" t="s">
        <v>22</v>
      </c>
      <c r="I951" t="s">
        <v>4297</v>
      </c>
    </row>
    <row r="952" spans="1:9" x14ac:dyDescent="0.35">
      <c r="A952" t="s">
        <v>4299</v>
      </c>
      <c r="B952" t="str">
        <f>"9780807004708"</f>
        <v>9780807004708</v>
      </c>
      <c r="C952" t="s">
        <v>4302</v>
      </c>
      <c r="D952" t="s">
        <v>4300</v>
      </c>
      <c r="E952" t="s">
        <v>4287</v>
      </c>
      <c r="H952" t="s">
        <v>22</v>
      </c>
      <c r="I952" t="s">
        <v>4301</v>
      </c>
    </row>
    <row r="953" spans="1:9" x14ac:dyDescent="0.35">
      <c r="A953" t="s">
        <v>4303</v>
      </c>
      <c r="B953" t="str">
        <f>"9780807000793"</f>
        <v>9780807000793</v>
      </c>
      <c r="C953" t="s">
        <v>4306</v>
      </c>
      <c r="D953" t="s">
        <v>4304</v>
      </c>
      <c r="E953" t="s">
        <v>4287</v>
      </c>
      <c r="H953" t="s">
        <v>397</v>
      </c>
      <c r="I953" t="s">
        <v>4305</v>
      </c>
    </row>
    <row r="954" spans="1:9" x14ac:dyDescent="0.35">
      <c r="A954" t="s">
        <v>4307</v>
      </c>
      <c r="B954" t="str">
        <f>"9781589835535"</f>
        <v>9781589835535</v>
      </c>
      <c r="C954" t="s">
        <v>4311</v>
      </c>
      <c r="D954" t="s">
        <v>4309</v>
      </c>
      <c r="E954" t="s">
        <v>4308</v>
      </c>
      <c r="H954" t="s">
        <v>163</v>
      </c>
      <c r="I954" t="s">
        <v>4310</v>
      </c>
    </row>
    <row r="955" spans="1:9" x14ac:dyDescent="0.35">
      <c r="A955" t="s">
        <v>4312</v>
      </c>
      <c r="B955" t="str">
        <f>"9781612491646"</f>
        <v>9781612491646</v>
      </c>
      <c r="C955" t="s">
        <v>4317</v>
      </c>
      <c r="D955" t="s">
        <v>4315</v>
      </c>
      <c r="E955" t="s">
        <v>4313</v>
      </c>
      <c r="F955" t="s">
        <v>4314</v>
      </c>
      <c r="H955" t="s">
        <v>250</v>
      </c>
      <c r="I955" t="s">
        <v>4316</v>
      </c>
    </row>
    <row r="956" spans="1:9" x14ac:dyDescent="0.35">
      <c r="A956" t="s">
        <v>4318</v>
      </c>
      <c r="B956" t="str">
        <f>"9780813219462"</f>
        <v>9780813219462</v>
      </c>
      <c r="C956" t="s">
        <v>4322</v>
      </c>
      <c r="D956" t="s">
        <v>4320</v>
      </c>
      <c r="E956" t="s">
        <v>4319</v>
      </c>
      <c r="H956" t="s">
        <v>163</v>
      </c>
      <c r="I956" t="s">
        <v>4321</v>
      </c>
    </row>
    <row r="957" spans="1:9" x14ac:dyDescent="0.35">
      <c r="A957" t="s">
        <v>4323</v>
      </c>
      <c r="B957" t="str">
        <f>"9781281376824"</f>
        <v>9781281376824</v>
      </c>
      <c r="C957" t="s">
        <v>4327</v>
      </c>
      <c r="D957" t="s">
        <v>4325</v>
      </c>
      <c r="E957" t="s">
        <v>4324</v>
      </c>
      <c r="H957" t="s">
        <v>22</v>
      </c>
      <c r="I957" t="s">
        <v>4326</v>
      </c>
    </row>
    <row r="958" spans="1:9" x14ac:dyDescent="0.35">
      <c r="A958" t="s">
        <v>4328</v>
      </c>
      <c r="B958" t="str">
        <f>"9780801459047"</f>
        <v>9780801459047</v>
      </c>
      <c r="C958" t="s">
        <v>4332</v>
      </c>
      <c r="D958" t="s">
        <v>4330</v>
      </c>
      <c r="E958" t="s">
        <v>4329</v>
      </c>
      <c r="H958" t="s">
        <v>22</v>
      </c>
      <c r="I958" t="s">
        <v>4331</v>
      </c>
    </row>
    <row r="959" spans="1:9" x14ac:dyDescent="0.35">
      <c r="A959" t="s">
        <v>4333</v>
      </c>
      <c r="B959" t="str">
        <f>"9780801458422"</f>
        <v>9780801458422</v>
      </c>
      <c r="C959" t="s">
        <v>4336</v>
      </c>
      <c r="D959" t="s">
        <v>4334</v>
      </c>
      <c r="E959" t="s">
        <v>4329</v>
      </c>
      <c r="H959" t="s">
        <v>153</v>
      </c>
      <c r="I959" t="s">
        <v>4335</v>
      </c>
    </row>
    <row r="960" spans="1:9" x14ac:dyDescent="0.35">
      <c r="A960" t="s">
        <v>4337</v>
      </c>
      <c r="B960" t="str">
        <f>"9780801463457"</f>
        <v>9780801463457</v>
      </c>
      <c r="C960" t="s">
        <v>4341</v>
      </c>
      <c r="D960" t="s">
        <v>4339</v>
      </c>
      <c r="E960" t="s">
        <v>4329</v>
      </c>
      <c r="F960" t="s">
        <v>4338</v>
      </c>
      <c r="H960" t="s">
        <v>22</v>
      </c>
      <c r="I960" t="s">
        <v>4340</v>
      </c>
    </row>
    <row r="961" spans="1:9" x14ac:dyDescent="0.35">
      <c r="A961" t="s">
        <v>4342</v>
      </c>
      <c r="B961" t="str">
        <f>"9780801463495"</f>
        <v>9780801463495</v>
      </c>
      <c r="C961" t="s">
        <v>4346</v>
      </c>
      <c r="D961" t="s">
        <v>4344</v>
      </c>
      <c r="E961" t="s">
        <v>4329</v>
      </c>
      <c r="F961" t="s">
        <v>4343</v>
      </c>
      <c r="H961" t="s">
        <v>1111</v>
      </c>
      <c r="I961" t="s">
        <v>4345</v>
      </c>
    </row>
    <row r="962" spans="1:9" x14ac:dyDescent="0.35">
      <c r="A962" t="s">
        <v>4347</v>
      </c>
      <c r="B962" t="str">
        <f>"9780801460821"</f>
        <v>9780801460821</v>
      </c>
      <c r="C962" t="s">
        <v>4350</v>
      </c>
      <c r="D962" t="s">
        <v>4348</v>
      </c>
      <c r="E962" t="s">
        <v>4329</v>
      </c>
      <c r="H962" t="s">
        <v>349</v>
      </c>
      <c r="I962" t="s">
        <v>4349</v>
      </c>
    </row>
    <row r="963" spans="1:9" x14ac:dyDescent="0.35">
      <c r="A963" t="s">
        <v>4351</v>
      </c>
      <c r="B963" t="str">
        <f>"9780801460692"</f>
        <v>9780801460692</v>
      </c>
      <c r="C963" t="s">
        <v>4354</v>
      </c>
      <c r="D963" t="s">
        <v>4352</v>
      </c>
      <c r="E963" t="s">
        <v>4329</v>
      </c>
      <c r="H963" t="s">
        <v>22</v>
      </c>
      <c r="I963" t="s">
        <v>4353</v>
      </c>
    </row>
    <row r="964" spans="1:9" x14ac:dyDescent="0.35">
      <c r="A964" t="s">
        <v>4355</v>
      </c>
      <c r="B964" t="str">
        <f>"9780801460890"</f>
        <v>9780801460890</v>
      </c>
      <c r="C964" t="s">
        <v>4358</v>
      </c>
      <c r="D964" t="s">
        <v>4356</v>
      </c>
      <c r="E964" t="s">
        <v>4329</v>
      </c>
      <c r="H964" t="s">
        <v>22</v>
      </c>
      <c r="I964" t="s">
        <v>4357</v>
      </c>
    </row>
    <row r="965" spans="1:9" x14ac:dyDescent="0.35">
      <c r="A965" t="s">
        <v>4359</v>
      </c>
      <c r="B965" t="str">
        <f>"9780801465826"</f>
        <v>9780801465826</v>
      </c>
      <c r="C965" t="s">
        <v>4362</v>
      </c>
      <c r="D965" t="s">
        <v>4360</v>
      </c>
      <c r="E965" t="s">
        <v>4329</v>
      </c>
      <c r="H965" t="s">
        <v>147</v>
      </c>
      <c r="I965" t="s">
        <v>4361</v>
      </c>
    </row>
    <row r="966" spans="1:9" x14ac:dyDescent="0.35">
      <c r="A966" t="s">
        <v>4363</v>
      </c>
      <c r="B966" t="str">
        <f>"9780801470691"</f>
        <v>9780801470691</v>
      </c>
      <c r="C966" t="s">
        <v>4366</v>
      </c>
      <c r="D966" t="s">
        <v>4364</v>
      </c>
      <c r="E966" t="s">
        <v>4329</v>
      </c>
      <c r="H966" t="s">
        <v>22</v>
      </c>
      <c r="I966" t="s">
        <v>4365</v>
      </c>
    </row>
    <row r="967" spans="1:9" x14ac:dyDescent="0.35">
      <c r="A967" t="s">
        <v>4367</v>
      </c>
      <c r="B967" t="str">
        <f>"9780801454875"</f>
        <v>9780801454875</v>
      </c>
      <c r="C967" t="s">
        <v>4370</v>
      </c>
      <c r="D967" t="s">
        <v>4368</v>
      </c>
      <c r="E967" t="s">
        <v>4329</v>
      </c>
      <c r="H967" t="s">
        <v>22</v>
      </c>
      <c r="I967" t="s">
        <v>4369</v>
      </c>
    </row>
    <row r="968" spans="1:9" x14ac:dyDescent="0.35">
      <c r="A968" t="s">
        <v>4371</v>
      </c>
      <c r="B968" t="str">
        <f>"9780801455841"</f>
        <v>9780801455841</v>
      </c>
      <c r="C968" t="s">
        <v>4374</v>
      </c>
      <c r="D968" t="s">
        <v>4372</v>
      </c>
      <c r="E968" t="s">
        <v>4329</v>
      </c>
      <c r="H968" t="s">
        <v>38</v>
      </c>
      <c r="I968" t="s">
        <v>4373</v>
      </c>
    </row>
    <row r="969" spans="1:9" x14ac:dyDescent="0.35">
      <c r="A969" t="s">
        <v>4375</v>
      </c>
      <c r="B969" t="str">
        <f>"9789059728738"</f>
        <v>9789059728738</v>
      </c>
      <c r="C969" t="s">
        <v>4379</v>
      </c>
      <c r="D969" t="s">
        <v>4377</v>
      </c>
      <c r="E969" t="s">
        <v>4376</v>
      </c>
      <c r="H969" t="s">
        <v>38</v>
      </c>
      <c r="I969" t="s">
        <v>4378</v>
      </c>
    </row>
    <row r="970" spans="1:9" x14ac:dyDescent="0.35">
      <c r="A970" t="s">
        <v>4380</v>
      </c>
      <c r="B970" t="str">
        <f>"9780823230143"</f>
        <v>9780823230143</v>
      </c>
      <c r="C970" t="s">
        <v>4384</v>
      </c>
      <c r="D970" t="s">
        <v>4382</v>
      </c>
      <c r="E970" t="s">
        <v>4381</v>
      </c>
      <c r="H970" t="s">
        <v>86</v>
      </c>
      <c r="I970" t="s">
        <v>4383</v>
      </c>
    </row>
    <row r="971" spans="1:9" x14ac:dyDescent="0.35">
      <c r="A971" t="s">
        <v>4385</v>
      </c>
      <c r="B971" t="str">
        <f>"9780823249527"</f>
        <v>9780823249527</v>
      </c>
      <c r="C971" t="s">
        <v>4388</v>
      </c>
      <c r="D971" t="s">
        <v>4386</v>
      </c>
      <c r="E971" t="s">
        <v>4381</v>
      </c>
      <c r="H971" t="s">
        <v>147</v>
      </c>
      <c r="I971" t="s">
        <v>4387</v>
      </c>
    </row>
    <row r="972" spans="1:9" x14ac:dyDescent="0.35">
      <c r="A972" t="s">
        <v>4389</v>
      </c>
      <c r="B972" t="str">
        <f>"9780823246656"</f>
        <v>9780823246656</v>
      </c>
      <c r="C972" t="s">
        <v>4392</v>
      </c>
      <c r="D972" t="s">
        <v>4390</v>
      </c>
      <c r="E972" t="s">
        <v>4381</v>
      </c>
      <c r="H972" t="s">
        <v>163</v>
      </c>
      <c r="I972" t="s">
        <v>4391</v>
      </c>
    </row>
    <row r="973" spans="1:9" x14ac:dyDescent="0.35">
      <c r="A973" t="s">
        <v>4393</v>
      </c>
      <c r="B973" t="str">
        <f>"9780823251759"</f>
        <v>9780823251759</v>
      </c>
      <c r="C973" t="s">
        <v>4397</v>
      </c>
      <c r="D973" t="s">
        <v>4395</v>
      </c>
      <c r="E973" t="s">
        <v>4394</v>
      </c>
      <c r="H973" t="s">
        <v>147</v>
      </c>
      <c r="I973" t="s">
        <v>4396</v>
      </c>
    </row>
    <row r="974" spans="1:9" x14ac:dyDescent="0.35">
      <c r="A974" t="s">
        <v>4398</v>
      </c>
      <c r="B974" t="str">
        <f>"9780823253890"</f>
        <v>9780823253890</v>
      </c>
      <c r="C974" t="s">
        <v>4402</v>
      </c>
      <c r="D974" t="s">
        <v>4400</v>
      </c>
      <c r="E974" t="s">
        <v>4381</v>
      </c>
      <c r="F974" t="s">
        <v>4399</v>
      </c>
      <c r="H974" t="s">
        <v>22</v>
      </c>
      <c r="I974" t="s">
        <v>4401</v>
      </c>
    </row>
    <row r="975" spans="1:9" x14ac:dyDescent="0.35">
      <c r="A975" t="s">
        <v>4403</v>
      </c>
      <c r="B975" t="str">
        <f>"9780823257652"</f>
        <v>9780823257652</v>
      </c>
      <c r="C975" t="s">
        <v>4407</v>
      </c>
      <c r="D975" t="s">
        <v>4405</v>
      </c>
      <c r="E975" t="s">
        <v>4381</v>
      </c>
      <c r="F975" t="s">
        <v>4404</v>
      </c>
      <c r="H975" t="s">
        <v>163</v>
      </c>
      <c r="I975" t="s">
        <v>4406</v>
      </c>
    </row>
    <row r="976" spans="1:9" x14ac:dyDescent="0.35">
      <c r="A976" t="s">
        <v>4408</v>
      </c>
      <c r="B976" t="str">
        <f>"9780823255740"</f>
        <v>9780823255740</v>
      </c>
      <c r="C976" t="s">
        <v>4411</v>
      </c>
      <c r="D976" t="s">
        <v>4409</v>
      </c>
      <c r="E976" t="s">
        <v>4381</v>
      </c>
      <c r="H976" t="s">
        <v>11</v>
      </c>
      <c r="I976" t="s">
        <v>4410</v>
      </c>
    </row>
    <row r="977" spans="1:9" x14ac:dyDescent="0.35">
      <c r="A977" t="s">
        <v>4412</v>
      </c>
      <c r="B977" t="str">
        <f>"9780823256259"</f>
        <v>9780823256259</v>
      </c>
      <c r="C977" t="s">
        <v>4417</v>
      </c>
      <c r="D977" t="s">
        <v>4414</v>
      </c>
      <c r="E977" t="s">
        <v>4381</v>
      </c>
      <c r="F977" t="s">
        <v>4413</v>
      </c>
      <c r="H977" t="s">
        <v>4415</v>
      </c>
      <c r="I977" t="s">
        <v>4416</v>
      </c>
    </row>
    <row r="978" spans="1:9" x14ac:dyDescent="0.35">
      <c r="A978" t="s">
        <v>4418</v>
      </c>
      <c r="B978" t="str">
        <f>"9780823255399"</f>
        <v>9780823255399</v>
      </c>
      <c r="C978" t="s">
        <v>4421</v>
      </c>
      <c r="D978" t="s">
        <v>4419</v>
      </c>
      <c r="E978" t="s">
        <v>4381</v>
      </c>
      <c r="H978" t="s">
        <v>22</v>
      </c>
      <c r="I978" t="s">
        <v>4420</v>
      </c>
    </row>
    <row r="979" spans="1:9" x14ac:dyDescent="0.35">
      <c r="A979" t="s">
        <v>4422</v>
      </c>
      <c r="B979" t="str">
        <f>"9780674040984"</f>
        <v>9780674040984</v>
      </c>
      <c r="C979" t="s">
        <v>4426</v>
      </c>
      <c r="D979" t="s">
        <v>4424</v>
      </c>
      <c r="E979" t="s">
        <v>4423</v>
      </c>
      <c r="H979" t="s">
        <v>197</v>
      </c>
      <c r="I979" t="s">
        <v>4425</v>
      </c>
    </row>
    <row r="980" spans="1:9" x14ac:dyDescent="0.35">
      <c r="A980" t="s">
        <v>4427</v>
      </c>
      <c r="B980" t="str">
        <f>"9780674054431"</f>
        <v>9780674054431</v>
      </c>
      <c r="C980" t="s">
        <v>4430</v>
      </c>
      <c r="D980" t="s">
        <v>4428</v>
      </c>
      <c r="E980" t="s">
        <v>4423</v>
      </c>
      <c r="H980" t="s">
        <v>163</v>
      </c>
      <c r="I980" t="s">
        <v>4429</v>
      </c>
    </row>
    <row r="981" spans="1:9" x14ac:dyDescent="0.35">
      <c r="A981" t="s">
        <v>4431</v>
      </c>
      <c r="B981" t="str">
        <f>"9780674058835"</f>
        <v>9780674058835</v>
      </c>
      <c r="C981" t="s">
        <v>4435</v>
      </c>
      <c r="D981" t="s">
        <v>4433</v>
      </c>
      <c r="E981" t="s">
        <v>4423</v>
      </c>
      <c r="F981" t="s">
        <v>4432</v>
      </c>
      <c r="H981" t="s">
        <v>377</v>
      </c>
      <c r="I981" t="s">
        <v>4434</v>
      </c>
    </row>
    <row r="982" spans="1:9" x14ac:dyDescent="0.35">
      <c r="A982" t="s">
        <v>4436</v>
      </c>
      <c r="B982" t="str">
        <f>"9780674061361"</f>
        <v>9780674061361</v>
      </c>
      <c r="C982" t="s">
        <v>4439</v>
      </c>
      <c r="D982" t="s">
        <v>4437</v>
      </c>
      <c r="E982" t="s">
        <v>4423</v>
      </c>
      <c r="H982" t="s">
        <v>330</v>
      </c>
      <c r="I982" t="s">
        <v>4438</v>
      </c>
    </row>
    <row r="983" spans="1:9" x14ac:dyDescent="0.35">
      <c r="A983" t="s">
        <v>4440</v>
      </c>
      <c r="B983" t="str">
        <f>"9780674067516"</f>
        <v>9780674067516</v>
      </c>
      <c r="C983" t="s">
        <v>4443</v>
      </c>
      <c r="D983" t="s">
        <v>4441</v>
      </c>
      <c r="E983" t="s">
        <v>4423</v>
      </c>
      <c r="H983" t="s">
        <v>22</v>
      </c>
      <c r="I983" t="s">
        <v>4442</v>
      </c>
    </row>
    <row r="984" spans="1:9" x14ac:dyDescent="0.35">
      <c r="A984" t="s">
        <v>4444</v>
      </c>
      <c r="B984" t="str">
        <f>"9780674074569"</f>
        <v>9780674074569</v>
      </c>
      <c r="C984" t="s">
        <v>4448</v>
      </c>
      <c r="D984" t="s">
        <v>4446</v>
      </c>
      <c r="E984" t="s">
        <v>4423</v>
      </c>
      <c r="F984" t="s">
        <v>4445</v>
      </c>
      <c r="H984" t="s">
        <v>22</v>
      </c>
      <c r="I984" t="s">
        <v>4447</v>
      </c>
    </row>
    <row r="985" spans="1:9" x14ac:dyDescent="0.35">
      <c r="A985" t="s">
        <v>4449</v>
      </c>
      <c r="B985" t="str">
        <f>"9780334051909"</f>
        <v>9780334051909</v>
      </c>
      <c r="C985" t="s">
        <v>4453</v>
      </c>
      <c r="D985" t="s">
        <v>4451</v>
      </c>
      <c r="E985" t="s">
        <v>4450</v>
      </c>
      <c r="H985" t="s">
        <v>163</v>
      </c>
      <c r="I985" t="s">
        <v>4452</v>
      </c>
    </row>
    <row r="986" spans="1:9" x14ac:dyDescent="0.35">
      <c r="A986" t="s">
        <v>4454</v>
      </c>
      <c r="B986" t="str">
        <f>"9781617353291"</f>
        <v>9781617353291</v>
      </c>
      <c r="C986" t="s">
        <v>4459</v>
      </c>
      <c r="D986" t="s">
        <v>4457</v>
      </c>
      <c r="E986" t="s">
        <v>4455</v>
      </c>
      <c r="F986" t="s">
        <v>4456</v>
      </c>
      <c r="H986" t="s">
        <v>209</v>
      </c>
      <c r="I986" t="s">
        <v>4458</v>
      </c>
    </row>
    <row r="987" spans="1:9" x14ac:dyDescent="0.35">
      <c r="A987" t="s">
        <v>4460</v>
      </c>
      <c r="B987" t="str">
        <f>"9781617359798"</f>
        <v>9781617359798</v>
      </c>
      <c r="C987" t="s">
        <v>4465</v>
      </c>
      <c r="D987" t="s">
        <v>4462</v>
      </c>
      <c r="E987" t="s">
        <v>4455</v>
      </c>
      <c r="F987" t="s">
        <v>4461</v>
      </c>
      <c r="H987" t="s">
        <v>4463</v>
      </c>
      <c r="I987" t="s">
        <v>4464</v>
      </c>
    </row>
    <row r="988" spans="1:9" x14ac:dyDescent="0.35">
      <c r="A988" t="s">
        <v>4466</v>
      </c>
      <c r="B988" t="str">
        <f>"9781623960933"</f>
        <v>9781623960933</v>
      </c>
      <c r="C988" t="s">
        <v>4470</v>
      </c>
      <c r="D988" t="s">
        <v>4468</v>
      </c>
      <c r="E988" t="s">
        <v>4455</v>
      </c>
      <c r="F988" t="s">
        <v>4467</v>
      </c>
      <c r="H988" t="s">
        <v>209</v>
      </c>
      <c r="I988" t="s">
        <v>4469</v>
      </c>
    </row>
    <row r="989" spans="1:9" x14ac:dyDescent="0.35">
      <c r="A989" t="s">
        <v>4471</v>
      </c>
      <c r="B989" t="str">
        <f>"9781623962616"</f>
        <v>9781623962616</v>
      </c>
      <c r="C989" t="s">
        <v>4474</v>
      </c>
      <c r="D989" t="s">
        <v>4472</v>
      </c>
      <c r="E989" t="s">
        <v>4455</v>
      </c>
      <c r="H989" t="s">
        <v>22</v>
      </c>
      <c r="I989" t="s">
        <v>4473</v>
      </c>
    </row>
    <row r="990" spans="1:9" x14ac:dyDescent="0.35">
      <c r="A990" t="s">
        <v>4475</v>
      </c>
      <c r="B990" t="str">
        <f>"9781623967086"</f>
        <v>9781623967086</v>
      </c>
      <c r="C990" t="s">
        <v>4478</v>
      </c>
      <c r="D990" t="s">
        <v>4476</v>
      </c>
      <c r="E990" t="s">
        <v>4455</v>
      </c>
      <c r="H990" t="s">
        <v>209</v>
      </c>
      <c r="I990" t="s">
        <v>4477</v>
      </c>
    </row>
    <row r="991" spans="1:9" x14ac:dyDescent="0.35">
      <c r="A991" t="s">
        <v>4479</v>
      </c>
      <c r="B991" t="str">
        <f>"9780801891724"</f>
        <v>9780801891724</v>
      </c>
      <c r="C991" t="s">
        <v>4484</v>
      </c>
      <c r="D991" t="s">
        <v>4482</v>
      </c>
      <c r="E991" t="s">
        <v>4480</v>
      </c>
      <c r="F991" t="s">
        <v>4481</v>
      </c>
      <c r="H991" t="s">
        <v>22</v>
      </c>
      <c r="I991" t="s">
        <v>4483</v>
      </c>
    </row>
    <row r="992" spans="1:9" x14ac:dyDescent="0.35">
      <c r="A992" t="s">
        <v>4485</v>
      </c>
      <c r="B992" t="str">
        <f>"9780801892028"</f>
        <v>9780801892028</v>
      </c>
      <c r="C992" t="s">
        <v>4488</v>
      </c>
      <c r="D992" t="s">
        <v>4486</v>
      </c>
      <c r="E992" t="s">
        <v>4480</v>
      </c>
      <c r="H992" t="s">
        <v>22</v>
      </c>
      <c r="I992" t="s">
        <v>4487</v>
      </c>
    </row>
    <row r="993" spans="1:9" x14ac:dyDescent="0.35">
      <c r="A993" t="s">
        <v>4489</v>
      </c>
      <c r="B993" t="str">
        <f>"9780801892172"</f>
        <v>9780801892172</v>
      </c>
      <c r="C993" t="s">
        <v>4492</v>
      </c>
      <c r="D993" t="s">
        <v>4490</v>
      </c>
      <c r="E993" t="s">
        <v>4480</v>
      </c>
      <c r="H993" t="s">
        <v>22</v>
      </c>
      <c r="I993" t="s">
        <v>4491</v>
      </c>
    </row>
    <row r="994" spans="1:9" x14ac:dyDescent="0.35">
      <c r="A994" t="s">
        <v>4493</v>
      </c>
      <c r="B994" t="str">
        <f>"9780801895364"</f>
        <v>9780801895364</v>
      </c>
      <c r="C994" t="s">
        <v>4496</v>
      </c>
      <c r="D994" t="s">
        <v>4494</v>
      </c>
      <c r="E994" t="s">
        <v>4480</v>
      </c>
      <c r="H994" t="s">
        <v>22</v>
      </c>
      <c r="I994" t="s">
        <v>4495</v>
      </c>
    </row>
    <row r="995" spans="1:9" x14ac:dyDescent="0.35">
      <c r="A995" t="s">
        <v>4497</v>
      </c>
      <c r="B995" t="str">
        <f>"9780801896897"</f>
        <v>9780801896897</v>
      </c>
      <c r="C995" t="s">
        <v>4501</v>
      </c>
      <c r="D995" t="s">
        <v>4498</v>
      </c>
      <c r="E995" t="s">
        <v>4480</v>
      </c>
      <c r="H995" t="s">
        <v>4499</v>
      </c>
      <c r="I995" t="s">
        <v>4500</v>
      </c>
    </row>
    <row r="996" spans="1:9" x14ac:dyDescent="0.35">
      <c r="A996" t="s">
        <v>4502</v>
      </c>
      <c r="B996" t="str">
        <f>"9780801895111"</f>
        <v>9780801895111</v>
      </c>
      <c r="C996" t="s">
        <v>4505</v>
      </c>
      <c r="D996" t="s">
        <v>4503</v>
      </c>
      <c r="E996" t="s">
        <v>4480</v>
      </c>
      <c r="H996" t="s">
        <v>147</v>
      </c>
      <c r="I996" t="s">
        <v>4504</v>
      </c>
    </row>
    <row r="997" spans="1:9" x14ac:dyDescent="0.35">
      <c r="A997" t="s">
        <v>4506</v>
      </c>
      <c r="B997" t="str">
        <f>"9780801895302"</f>
        <v>9780801895302</v>
      </c>
      <c r="C997" t="s">
        <v>4509</v>
      </c>
      <c r="D997" t="s">
        <v>4507</v>
      </c>
      <c r="E997" t="s">
        <v>4480</v>
      </c>
      <c r="H997" t="s">
        <v>147</v>
      </c>
      <c r="I997" t="s">
        <v>4508</v>
      </c>
    </row>
    <row r="998" spans="1:9" x14ac:dyDescent="0.35">
      <c r="A998" t="s">
        <v>4510</v>
      </c>
      <c r="B998" t="str">
        <f>"9780801897955"</f>
        <v>9780801897955</v>
      </c>
      <c r="C998" t="s">
        <v>4513</v>
      </c>
      <c r="D998" t="s">
        <v>4511</v>
      </c>
      <c r="E998" t="s">
        <v>4480</v>
      </c>
      <c r="F998" t="s">
        <v>4481</v>
      </c>
      <c r="H998" t="s">
        <v>22</v>
      </c>
      <c r="I998" t="s">
        <v>4512</v>
      </c>
    </row>
    <row r="999" spans="1:9" x14ac:dyDescent="0.35">
      <c r="A999" t="s">
        <v>4514</v>
      </c>
      <c r="B999" t="str">
        <f>"9780801897924"</f>
        <v>9780801897924</v>
      </c>
      <c r="C999" t="s">
        <v>4518</v>
      </c>
      <c r="D999" t="s">
        <v>4516</v>
      </c>
      <c r="E999" t="s">
        <v>4480</v>
      </c>
      <c r="F999" t="s">
        <v>4515</v>
      </c>
      <c r="H999" t="s">
        <v>22</v>
      </c>
      <c r="I999" t="s">
        <v>4517</v>
      </c>
    </row>
    <row r="1000" spans="1:9" x14ac:dyDescent="0.35">
      <c r="A1000" t="s">
        <v>4519</v>
      </c>
      <c r="B1000" t="str">
        <f>"9780801898785"</f>
        <v>9780801898785</v>
      </c>
      <c r="C1000" t="s">
        <v>4523</v>
      </c>
      <c r="D1000" t="s">
        <v>4521</v>
      </c>
      <c r="E1000" t="s">
        <v>4480</v>
      </c>
      <c r="F1000" t="s">
        <v>4520</v>
      </c>
      <c r="H1000" t="s">
        <v>22</v>
      </c>
      <c r="I1000" t="s">
        <v>4522</v>
      </c>
    </row>
    <row r="1001" spans="1:9" x14ac:dyDescent="0.35">
      <c r="A1001" t="s">
        <v>4524</v>
      </c>
      <c r="B1001" t="str">
        <f>"9781421412603"</f>
        <v>9781421412603</v>
      </c>
      <c r="C1001" t="s">
        <v>4527</v>
      </c>
      <c r="D1001" t="s">
        <v>4525</v>
      </c>
      <c r="E1001" t="s">
        <v>4480</v>
      </c>
      <c r="H1001" t="s">
        <v>209</v>
      </c>
      <c r="I1001" t="s">
        <v>4526</v>
      </c>
    </row>
    <row r="1002" spans="1:9" x14ac:dyDescent="0.35">
      <c r="A1002" t="s">
        <v>4528</v>
      </c>
      <c r="B1002" t="str">
        <f>"9781421416564"</f>
        <v>9781421416564</v>
      </c>
      <c r="C1002" t="s">
        <v>4532</v>
      </c>
      <c r="D1002" t="s">
        <v>4530</v>
      </c>
      <c r="E1002" t="s">
        <v>4480</v>
      </c>
      <c r="F1002" t="s">
        <v>4529</v>
      </c>
      <c r="H1002" t="s">
        <v>275</v>
      </c>
      <c r="I1002" t="s">
        <v>4531</v>
      </c>
    </row>
    <row r="1003" spans="1:9" x14ac:dyDescent="0.35">
      <c r="A1003" t="s">
        <v>4533</v>
      </c>
      <c r="B1003" t="str">
        <f>"9781936117956"</f>
        <v>9781936117956</v>
      </c>
      <c r="C1003" t="s">
        <v>4537</v>
      </c>
      <c r="D1003" t="s">
        <v>4535</v>
      </c>
      <c r="E1003" t="s">
        <v>4534</v>
      </c>
      <c r="H1003" t="s">
        <v>22</v>
      </c>
      <c r="I1003" t="s">
        <v>4536</v>
      </c>
    </row>
    <row r="1004" spans="1:9" x14ac:dyDescent="0.35">
      <c r="A1004" t="s">
        <v>4538</v>
      </c>
      <c r="B1004" t="str">
        <f>"9781936117543"</f>
        <v>9781936117543</v>
      </c>
      <c r="C1004" t="s">
        <v>4543</v>
      </c>
      <c r="D1004" t="s">
        <v>4540</v>
      </c>
      <c r="E1004" t="s">
        <v>4539</v>
      </c>
      <c r="H1004" t="s">
        <v>4541</v>
      </c>
      <c r="I1004" t="s">
        <v>4542</v>
      </c>
    </row>
    <row r="1005" spans="1:9" x14ac:dyDescent="0.35">
      <c r="A1005" t="s">
        <v>4544</v>
      </c>
      <c r="B1005" t="str">
        <f>"9781588269348"</f>
        <v>9781588269348</v>
      </c>
      <c r="C1005" t="s">
        <v>4548</v>
      </c>
      <c r="D1005" t="s">
        <v>4546</v>
      </c>
      <c r="E1005" t="s">
        <v>4545</v>
      </c>
      <c r="H1005" t="s">
        <v>22</v>
      </c>
      <c r="I1005" t="s">
        <v>4547</v>
      </c>
    </row>
    <row r="1006" spans="1:9" x14ac:dyDescent="0.35">
      <c r="A1006" t="s">
        <v>4549</v>
      </c>
      <c r="B1006" t="str">
        <f>"9781626370944"</f>
        <v>9781626370944</v>
      </c>
      <c r="C1006" t="s">
        <v>4552</v>
      </c>
      <c r="D1006" t="s">
        <v>4550</v>
      </c>
      <c r="E1006" t="s">
        <v>4545</v>
      </c>
      <c r="H1006" t="s">
        <v>2974</v>
      </c>
      <c r="I1006" t="s">
        <v>4551</v>
      </c>
    </row>
    <row r="1007" spans="1:9" x14ac:dyDescent="0.35">
      <c r="A1007" t="s">
        <v>4553</v>
      </c>
      <c r="B1007" t="str">
        <f>"9780773571655"</f>
        <v>9780773571655</v>
      </c>
      <c r="C1007" t="s">
        <v>4557</v>
      </c>
      <c r="D1007" t="s">
        <v>4555</v>
      </c>
      <c r="E1007" t="s">
        <v>4554</v>
      </c>
      <c r="H1007" t="s">
        <v>17</v>
      </c>
      <c r="I1007" t="s">
        <v>4556</v>
      </c>
    </row>
    <row r="1008" spans="1:9" x14ac:dyDescent="0.35">
      <c r="A1008" t="s">
        <v>4558</v>
      </c>
      <c r="B1008" t="str">
        <f>"9780773572119"</f>
        <v>9780773572119</v>
      </c>
      <c r="C1008" t="s">
        <v>4560</v>
      </c>
      <c r="D1008" t="s">
        <v>3301</v>
      </c>
      <c r="E1008" t="s">
        <v>4554</v>
      </c>
      <c r="H1008" t="s">
        <v>22</v>
      </c>
      <c r="I1008" t="s">
        <v>4559</v>
      </c>
    </row>
    <row r="1009" spans="1:9" x14ac:dyDescent="0.35">
      <c r="A1009" t="s">
        <v>4561</v>
      </c>
      <c r="B1009" t="str">
        <f>"9780773572195"</f>
        <v>9780773572195</v>
      </c>
      <c r="C1009" t="s">
        <v>4565</v>
      </c>
      <c r="D1009" t="s">
        <v>4563</v>
      </c>
      <c r="E1009" t="s">
        <v>4562</v>
      </c>
      <c r="H1009" t="s">
        <v>1147</v>
      </c>
      <c r="I1009" t="s">
        <v>4564</v>
      </c>
    </row>
    <row r="1010" spans="1:9" x14ac:dyDescent="0.35">
      <c r="A1010" t="s">
        <v>4566</v>
      </c>
      <c r="B1010" t="str">
        <f>"9780773572935"</f>
        <v>9780773572935</v>
      </c>
      <c r="C1010" t="s">
        <v>4569</v>
      </c>
      <c r="D1010" t="s">
        <v>4567</v>
      </c>
      <c r="E1010" t="s">
        <v>4562</v>
      </c>
      <c r="H1010" t="s">
        <v>22</v>
      </c>
      <c r="I1010" t="s">
        <v>4568</v>
      </c>
    </row>
    <row r="1011" spans="1:9" x14ac:dyDescent="0.35">
      <c r="A1011" t="s">
        <v>4570</v>
      </c>
      <c r="B1011" t="str">
        <f>"9780773576803"</f>
        <v>9780773576803</v>
      </c>
      <c r="C1011" t="s">
        <v>4572</v>
      </c>
      <c r="D1011" t="s">
        <v>1721</v>
      </c>
      <c r="E1011" t="s">
        <v>4554</v>
      </c>
      <c r="H1011" t="s">
        <v>86</v>
      </c>
      <c r="I1011" t="s">
        <v>4571</v>
      </c>
    </row>
    <row r="1012" spans="1:9" x14ac:dyDescent="0.35">
      <c r="A1012" t="s">
        <v>4558</v>
      </c>
      <c r="B1012" t="str">
        <f>"9780773588783"</f>
        <v>9780773588783</v>
      </c>
      <c r="C1012" t="s">
        <v>4574</v>
      </c>
      <c r="D1012" t="s">
        <v>3301</v>
      </c>
      <c r="E1012" t="s">
        <v>4562</v>
      </c>
      <c r="H1012" t="s">
        <v>22</v>
      </c>
      <c r="I1012" t="s">
        <v>4573</v>
      </c>
    </row>
    <row r="1013" spans="1:9" x14ac:dyDescent="0.35">
      <c r="A1013" t="s">
        <v>4575</v>
      </c>
      <c r="B1013" t="str">
        <f>"9780773589759"</f>
        <v>9780773589759</v>
      </c>
      <c r="C1013" t="s">
        <v>4578</v>
      </c>
      <c r="D1013" t="s">
        <v>4576</v>
      </c>
      <c r="E1013" t="s">
        <v>4554</v>
      </c>
      <c r="H1013" t="s">
        <v>22</v>
      </c>
      <c r="I1013" t="s">
        <v>4577</v>
      </c>
    </row>
    <row r="1014" spans="1:9" x14ac:dyDescent="0.35">
      <c r="A1014" t="s">
        <v>4579</v>
      </c>
      <c r="B1014" t="str">
        <f>"9780773596412"</f>
        <v>9780773596412</v>
      </c>
      <c r="C1014" t="s">
        <v>4583</v>
      </c>
      <c r="D1014" t="s">
        <v>4581</v>
      </c>
      <c r="E1014" t="s">
        <v>4554</v>
      </c>
      <c r="F1014" t="s">
        <v>4580</v>
      </c>
      <c r="H1014" t="s">
        <v>17</v>
      </c>
      <c r="I1014" t="s">
        <v>4582</v>
      </c>
    </row>
    <row r="1015" spans="1:9" x14ac:dyDescent="0.35">
      <c r="A1015" t="s">
        <v>4584</v>
      </c>
      <c r="B1015" t="str">
        <f>"9781609174033"</f>
        <v>9781609174033</v>
      </c>
      <c r="C1015" t="s">
        <v>4588</v>
      </c>
      <c r="D1015" t="s">
        <v>4586</v>
      </c>
      <c r="E1015" t="s">
        <v>4585</v>
      </c>
      <c r="H1015" t="s">
        <v>849</v>
      </c>
      <c r="I1015" t="s">
        <v>4587</v>
      </c>
    </row>
    <row r="1016" spans="1:9" x14ac:dyDescent="0.35">
      <c r="A1016" t="s">
        <v>4589</v>
      </c>
      <c r="B1016" t="str">
        <f>"9780262269834"</f>
        <v>9780262269834</v>
      </c>
      <c r="C1016" t="s">
        <v>4594</v>
      </c>
      <c r="D1016" t="s">
        <v>4592</v>
      </c>
      <c r="E1016" t="s">
        <v>4590</v>
      </c>
      <c r="F1016" t="s">
        <v>4591</v>
      </c>
      <c r="H1016" t="s">
        <v>22</v>
      </c>
      <c r="I1016" t="s">
        <v>4593</v>
      </c>
    </row>
    <row r="1017" spans="1:9" x14ac:dyDescent="0.35">
      <c r="A1017" t="s">
        <v>4595</v>
      </c>
      <c r="B1017" t="str">
        <f>"9780262272247"</f>
        <v>9780262272247</v>
      </c>
      <c r="C1017" t="s">
        <v>4599</v>
      </c>
      <c r="D1017" t="s">
        <v>4596</v>
      </c>
      <c r="E1017" t="s">
        <v>4590</v>
      </c>
      <c r="F1017" t="s">
        <v>4591</v>
      </c>
      <c r="H1017" t="s">
        <v>4597</v>
      </c>
      <c r="I1017" t="s">
        <v>4598</v>
      </c>
    </row>
    <row r="1018" spans="1:9" x14ac:dyDescent="0.35">
      <c r="A1018" t="s">
        <v>4600</v>
      </c>
      <c r="B1018" t="str">
        <f>"9780262276719"</f>
        <v>9780262276719</v>
      </c>
      <c r="C1018" t="s">
        <v>4604</v>
      </c>
      <c r="D1018" t="s">
        <v>4602</v>
      </c>
      <c r="E1018" t="s">
        <v>4590</v>
      </c>
      <c r="F1018" t="s">
        <v>4601</v>
      </c>
      <c r="H1018" t="s">
        <v>330</v>
      </c>
      <c r="I1018" t="s">
        <v>4603</v>
      </c>
    </row>
    <row r="1019" spans="1:9" x14ac:dyDescent="0.35">
      <c r="A1019" t="s">
        <v>4605</v>
      </c>
      <c r="B1019" t="str">
        <f>"9780262298810"</f>
        <v>9780262298810</v>
      </c>
      <c r="C1019" t="s">
        <v>4608</v>
      </c>
      <c r="D1019" t="s">
        <v>4606</v>
      </c>
      <c r="E1019" t="s">
        <v>4590</v>
      </c>
      <c r="F1019" t="s">
        <v>4591</v>
      </c>
      <c r="H1019" t="s">
        <v>22</v>
      </c>
      <c r="I1019" t="s">
        <v>4607</v>
      </c>
    </row>
    <row r="1020" spans="1:9" x14ac:dyDescent="0.35">
      <c r="A1020" t="s">
        <v>4609</v>
      </c>
      <c r="B1020" t="str">
        <f>"9780262305938"</f>
        <v>9780262305938</v>
      </c>
      <c r="C1020" t="s">
        <v>4612</v>
      </c>
      <c r="D1020" t="s">
        <v>4610</v>
      </c>
      <c r="E1020" t="s">
        <v>4590</v>
      </c>
      <c r="F1020" t="s">
        <v>4591</v>
      </c>
      <c r="H1020" t="s">
        <v>22</v>
      </c>
      <c r="I1020" t="s">
        <v>4611</v>
      </c>
    </row>
    <row r="1021" spans="1:9" x14ac:dyDescent="0.35">
      <c r="A1021" t="s">
        <v>4613</v>
      </c>
      <c r="B1021" t="str">
        <f>"9780262305822"</f>
        <v>9780262305822</v>
      </c>
      <c r="C1021" t="s">
        <v>4617</v>
      </c>
      <c r="D1021" t="s">
        <v>4615</v>
      </c>
      <c r="E1021" t="s">
        <v>4590</v>
      </c>
      <c r="F1021" t="s">
        <v>4614</v>
      </c>
      <c r="H1021" t="s">
        <v>2221</v>
      </c>
      <c r="I1021" t="s">
        <v>4616</v>
      </c>
    </row>
    <row r="1022" spans="1:9" x14ac:dyDescent="0.35">
      <c r="A1022" t="s">
        <v>4618</v>
      </c>
      <c r="B1022" t="str">
        <f>"9780309225250"</f>
        <v>9780309225250</v>
      </c>
      <c r="C1022" t="s">
        <v>4622</v>
      </c>
      <c r="D1022" t="s">
        <v>4620</v>
      </c>
      <c r="E1022" t="s">
        <v>4619</v>
      </c>
      <c r="H1022" t="s">
        <v>1963</v>
      </c>
      <c r="I1022" t="s">
        <v>4621</v>
      </c>
    </row>
    <row r="1023" spans="1:9" x14ac:dyDescent="0.35">
      <c r="A1023" t="s">
        <v>4623</v>
      </c>
      <c r="B1023" t="str">
        <f>"9780309268059"</f>
        <v>9780309268059</v>
      </c>
      <c r="C1023" t="s">
        <v>4626</v>
      </c>
      <c r="D1023" t="s">
        <v>4624</v>
      </c>
      <c r="E1023" t="s">
        <v>4619</v>
      </c>
      <c r="H1023" t="s">
        <v>1111</v>
      </c>
      <c r="I1023" t="s">
        <v>4625</v>
      </c>
    </row>
    <row r="1024" spans="1:9" x14ac:dyDescent="0.35">
      <c r="A1024" t="s">
        <v>4627</v>
      </c>
      <c r="B1024" t="str">
        <f>"9780309264396"</f>
        <v>9780309264396</v>
      </c>
      <c r="C1024" t="s">
        <v>4631</v>
      </c>
      <c r="D1024" t="s">
        <v>4628</v>
      </c>
      <c r="E1024" t="s">
        <v>4619</v>
      </c>
      <c r="H1024" t="s">
        <v>4629</v>
      </c>
      <c r="I1024" t="s">
        <v>4630</v>
      </c>
    </row>
    <row r="1025" spans="1:9" x14ac:dyDescent="0.35">
      <c r="A1025" t="s">
        <v>4632</v>
      </c>
      <c r="B1025" t="str">
        <f>"9780746312636"</f>
        <v>9780746312636</v>
      </c>
      <c r="C1025" t="s">
        <v>4636</v>
      </c>
      <c r="D1025" t="s">
        <v>4634</v>
      </c>
      <c r="E1025" t="s">
        <v>4633</v>
      </c>
      <c r="H1025" t="s">
        <v>147</v>
      </c>
      <c r="I1025" t="s">
        <v>4635</v>
      </c>
    </row>
    <row r="1026" spans="1:9" x14ac:dyDescent="0.35">
      <c r="A1026" t="s">
        <v>4637</v>
      </c>
      <c r="B1026" t="str">
        <f>"9781849649865"</f>
        <v>9781849649865</v>
      </c>
      <c r="C1026" t="s">
        <v>4641</v>
      </c>
      <c r="D1026" t="s">
        <v>4639</v>
      </c>
      <c r="E1026" t="s">
        <v>4638</v>
      </c>
      <c r="H1026" t="s">
        <v>22</v>
      </c>
      <c r="I1026" t="s">
        <v>4640</v>
      </c>
    </row>
    <row r="1027" spans="1:9" x14ac:dyDescent="0.35">
      <c r="A1027" t="s">
        <v>4642</v>
      </c>
      <c r="B1027" t="str">
        <f>"9781438440163"</f>
        <v>9781438440163</v>
      </c>
      <c r="C1027" t="s">
        <v>4647</v>
      </c>
      <c r="D1027" t="s">
        <v>4645</v>
      </c>
      <c r="E1027" t="s">
        <v>4643</v>
      </c>
      <c r="F1027" t="s">
        <v>4644</v>
      </c>
      <c r="H1027" t="s">
        <v>22</v>
      </c>
      <c r="I1027" t="s">
        <v>4646</v>
      </c>
    </row>
    <row r="1028" spans="1:9" x14ac:dyDescent="0.35">
      <c r="A1028" t="s">
        <v>4648</v>
      </c>
      <c r="B1028" t="str">
        <f>"9781438440323"</f>
        <v>9781438440323</v>
      </c>
      <c r="C1028" t="s">
        <v>4652</v>
      </c>
      <c r="D1028" t="s">
        <v>4650</v>
      </c>
      <c r="E1028" t="s">
        <v>4643</v>
      </c>
      <c r="F1028" t="s">
        <v>4649</v>
      </c>
      <c r="H1028" t="s">
        <v>2221</v>
      </c>
      <c r="I1028" t="s">
        <v>4651</v>
      </c>
    </row>
    <row r="1029" spans="1:9" x14ac:dyDescent="0.35">
      <c r="A1029" t="s">
        <v>4653</v>
      </c>
      <c r="B1029" t="str">
        <f>"9781438440019"</f>
        <v>9781438440019</v>
      </c>
      <c r="C1029" t="s">
        <v>4657</v>
      </c>
      <c r="D1029" t="s">
        <v>4654</v>
      </c>
      <c r="E1029" t="s">
        <v>4643</v>
      </c>
      <c r="H1029" t="s">
        <v>4655</v>
      </c>
      <c r="I1029" t="s">
        <v>4656</v>
      </c>
    </row>
    <row r="1030" spans="1:9" x14ac:dyDescent="0.35">
      <c r="A1030" t="s">
        <v>4658</v>
      </c>
      <c r="B1030" t="str">
        <f>"9781438434339"</f>
        <v>9781438434339</v>
      </c>
      <c r="C1030" t="s">
        <v>4661</v>
      </c>
      <c r="D1030" t="s">
        <v>4659</v>
      </c>
      <c r="E1030" t="s">
        <v>4643</v>
      </c>
      <c r="F1030" t="s">
        <v>4649</v>
      </c>
      <c r="H1030" t="s">
        <v>22</v>
      </c>
      <c r="I1030" t="s">
        <v>4660</v>
      </c>
    </row>
    <row r="1031" spans="1:9" x14ac:dyDescent="0.35">
      <c r="A1031" t="s">
        <v>4662</v>
      </c>
      <c r="B1031" t="str">
        <f>"9781438431017"</f>
        <v>9781438431017</v>
      </c>
      <c r="C1031" t="s">
        <v>4665</v>
      </c>
      <c r="D1031" t="s">
        <v>4663</v>
      </c>
      <c r="E1031" t="s">
        <v>4643</v>
      </c>
      <c r="F1031" t="s">
        <v>4649</v>
      </c>
      <c r="H1031" t="s">
        <v>11</v>
      </c>
      <c r="I1031" t="s">
        <v>4664</v>
      </c>
    </row>
    <row r="1032" spans="1:9" x14ac:dyDescent="0.35">
      <c r="A1032" t="s">
        <v>4666</v>
      </c>
      <c r="B1032" t="str">
        <f>"9781438432687"</f>
        <v>9781438432687</v>
      </c>
      <c r="C1032" t="s">
        <v>4669</v>
      </c>
      <c r="D1032" t="s">
        <v>4667</v>
      </c>
      <c r="E1032" t="s">
        <v>4643</v>
      </c>
      <c r="F1032" t="s">
        <v>4649</v>
      </c>
      <c r="H1032" t="s">
        <v>22</v>
      </c>
      <c r="I1032" t="s">
        <v>4668</v>
      </c>
    </row>
    <row r="1033" spans="1:9" x14ac:dyDescent="0.35">
      <c r="A1033" t="s">
        <v>4670</v>
      </c>
      <c r="B1033" t="str">
        <f>"9781438432076"</f>
        <v>9781438432076</v>
      </c>
      <c r="C1033" t="s">
        <v>4674</v>
      </c>
      <c r="D1033" t="s">
        <v>4672</v>
      </c>
      <c r="E1033" t="s">
        <v>4643</v>
      </c>
      <c r="F1033" t="s">
        <v>4671</v>
      </c>
      <c r="H1033" t="s">
        <v>11</v>
      </c>
      <c r="I1033" t="s">
        <v>4673</v>
      </c>
    </row>
    <row r="1034" spans="1:9" x14ac:dyDescent="0.35">
      <c r="A1034" t="s">
        <v>4675</v>
      </c>
      <c r="B1034" t="str">
        <f>"9781438430126"</f>
        <v>9781438430126</v>
      </c>
      <c r="C1034" t="s">
        <v>4678</v>
      </c>
      <c r="D1034" t="s">
        <v>4676</v>
      </c>
      <c r="E1034" t="s">
        <v>4643</v>
      </c>
      <c r="H1034" t="s">
        <v>147</v>
      </c>
      <c r="I1034" t="s">
        <v>4677</v>
      </c>
    </row>
    <row r="1035" spans="1:9" x14ac:dyDescent="0.35">
      <c r="A1035" t="s">
        <v>4679</v>
      </c>
      <c r="B1035" t="str">
        <f>"9781438432168"</f>
        <v>9781438432168</v>
      </c>
      <c r="C1035" t="s">
        <v>4682</v>
      </c>
      <c r="D1035" t="s">
        <v>4680</v>
      </c>
      <c r="E1035" t="s">
        <v>4643</v>
      </c>
      <c r="H1035" t="s">
        <v>22</v>
      </c>
      <c r="I1035" t="s">
        <v>4681</v>
      </c>
    </row>
    <row r="1036" spans="1:9" x14ac:dyDescent="0.35">
      <c r="A1036" t="s">
        <v>4683</v>
      </c>
      <c r="B1036" t="str">
        <f>"9781438432106"</f>
        <v>9781438432106</v>
      </c>
      <c r="C1036" t="s">
        <v>4687</v>
      </c>
      <c r="D1036" t="s">
        <v>4685</v>
      </c>
      <c r="E1036" t="s">
        <v>4643</v>
      </c>
      <c r="F1036" t="s">
        <v>4684</v>
      </c>
      <c r="H1036" t="s">
        <v>22</v>
      </c>
      <c r="I1036" t="s">
        <v>4686</v>
      </c>
    </row>
    <row r="1037" spans="1:9" x14ac:dyDescent="0.35">
      <c r="A1037" t="s">
        <v>4688</v>
      </c>
      <c r="B1037" t="str">
        <f>"9781438437743"</f>
        <v>9781438437743</v>
      </c>
      <c r="C1037" t="s">
        <v>4691</v>
      </c>
      <c r="D1037" t="s">
        <v>4689</v>
      </c>
      <c r="E1037" t="s">
        <v>4643</v>
      </c>
      <c r="H1037" t="s">
        <v>147</v>
      </c>
      <c r="I1037" t="s">
        <v>4690</v>
      </c>
    </row>
    <row r="1038" spans="1:9" x14ac:dyDescent="0.35">
      <c r="A1038" t="s">
        <v>4692</v>
      </c>
      <c r="B1038" t="str">
        <f>"9781438436760"</f>
        <v>9781438436760</v>
      </c>
      <c r="C1038" t="s">
        <v>4695</v>
      </c>
      <c r="D1038" t="s">
        <v>4693</v>
      </c>
      <c r="E1038" t="s">
        <v>4643</v>
      </c>
      <c r="H1038" t="s">
        <v>64</v>
      </c>
      <c r="I1038" t="s">
        <v>4694</v>
      </c>
    </row>
    <row r="1039" spans="1:9" x14ac:dyDescent="0.35">
      <c r="A1039" t="s">
        <v>4696</v>
      </c>
      <c r="B1039" t="str">
        <f>"9780791480380"</f>
        <v>9780791480380</v>
      </c>
      <c r="C1039" t="s">
        <v>4700</v>
      </c>
      <c r="D1039" t="s">
        <v>4698</v>
      </c>
      <c r="E1039" t="s">
        <v>4643</v>
      </c>
      <c r="F1039" t="s">
        <v>4697</v>
      </c>
      <c r="H1039" t="s">
        <v>11</v>
      </c>
      <c r="I1039" t="s">
        <v>4699</v>
      </c>
    </row>
    <row r="1040" spans="1:9" x14ac:dyDescent="0.35">
      <c r="A1040" t="s">
        <v>4701</v>
      </c>
      <c r="B1040" t="str">
        <f>"9780791477489"</f>
        <v>9780791477489</v>
      </c>
      <c r="C1040" t="s">
        <v>4704</v>
      </c>
      <c r="D1040" t="s">
        <v>4702</v>
      </c>
      <c r="E1040" t="s">
        <v>4643</v>
      </c>
      <c r="H1040" t="s">
        <v>22</v>
      </c>
      <c r="I1040" t="s">
        <v>4703</v>
      </c>
    </row>
    <row r="1041" spans="1:9" x14ac:dyDescent="0.35">
      <c r="A1041" t="s">
        <v>4705</v>
      </c>
      <c r="B1041" t="str">
        <f>"9780791479780"</f>
        <v>9780791479780</v>
      </c>
      <c r="C1041" t="s">
        <v>4709</v>
      </c>
      <c r="D1041" t="s">
        <v>4707</v>
      </c>
      <c r="E1041" t="s">
        <v>4643</v>
      </c>
      <c r="F1041" t="s">
        <v>4706</v>
      </c>
      <c r="H1041" t="s">
        <v>2974</v>
      </c>
      <c r="I1041" t="s">
        <v>4708</v>
      </c>
    </row>
    <row r="1042" spans="1:9" x14ac:dyDescent="0.35">
      <c r="A1042" t="s">
        <v>4710</v>
      </c>
      <c r="B1042" t="str">
        <f>"9780791481820"</f>
        <v>9780791481820</v>
      </c>
      <c r="C1042" t="s">
        <v>4714</v>
      </c>
      <c r="D1042" t="s">
        <v>4712</v>
      </c>
      <c r="E1042" t="s">
        <v>4643</v>
      </c>
      <c r="F1042" t="s">
        <v>4711</v>
      </c>
      <c r="H1042" t="s">
        <v>75</v>
      </c>
      <c r="I1042" t="s">
        <v>4713</v>
      </c>
    </row>
    <row r="1043" spans="1:9" x14ac:dyDescent="0.35">
      <c r="A1043" t="s">
        <v>4715</v>
      </c>
      <c r="B1043" t="str">
        <f>"9780791483886"</f>
        <v>9780791483886</v>
      </c>
      <c r="C1043" t="s">
        <v>4718</v>
      </c>
      <c r="D1043" t="s">
        <v>4716</v>
      </c>
      <c r="E1043" t="s">
        <v>4643</v>
      </c>
      <c r="H1043" t="s">
        <v>22</v>
      </c>
      <c r="I1043" t="s">
        <v>4717</v>
      </c>
    </row>
    <row r="1044" spans="1:9" x14ac:dyDescent="0.35">
      <c r="A1044" t="s">
        <v>4719</v>
      </c>
      <c r="B1044" t="str">
        <f>"9780791481776"</f>
        <v>9780791481776</v>
      </c>
      <c r="C1044" t="s">
        <v>4722</v>
      </c>
      <c r="D1044" t="s">
        <v>4720</v>
      </c>
      <c r="E1044" t="s">
        <v>4643</v>
      </c>
      <c r="F1044" t="s">
        <v>4649</v>
      </c>
      <c r="H1044" t="s">
        <v>22</v>
      </c>
      <c r="I1044" t="s">
        <v>4721</v>
      </c>
    </row>
    <row r="1045" spans="1:9" x14ac:dyDescent="0.35">
      <c r="A1045" t="s">
        <v>4723</v>
      </c>
      <c r="B1045" t="str">
        <f>"9780791484272"</f>
        <v>9780791484272</v>
      </c>
      <c r="C1045" t="s">
        <v>4726</v>
      </c>
      <c r="D1045" t="s">
        <v>4724</v>
      </c>
      <c r="E1045" t="s">
        <v>4643</v>
      </c>
      <c r="F1045" t="s">
        <v>4711</v>
      </c>
      <c r="H1045" t="s">
        <v>163</v>
      </c>
      <c r="I1045" t="s">
        <v>4725</v>
      </c>
    </row>
    <row r="1046" spans="1:9" x14ac:dyDescent="0.35">
      <c r="A1046" t="s">
        <v>4727</v>
      </c>
      <c r="B1046" t="str">
        <f>"9781438426976"</f>
        <v>9781438426976</v>
      </c>
      <c r="C1046" t="s">
        <v>4730</v>
      </c>
      <c r="D1046" t="s">
        <v>4728</v>
      </c>
      <c r="E1046" t="s">
        <v>4643</v>
      </c>
      <c r="H1046" t="s">
        <v>147</v>
      </c>
      <c r="I1046" t="s">
        <v>4729</v>
      </c>
    </row>
    <row r="1047" spans="1:9" x14ac:dyDescent="0.35">
      <c r="A1047" t="s">
        <v>4731</v>
      </c>
      <c r="B1047" t="str">
        <f>"9781438427386"</f>
        <v>9781438427386</v>
      </c>
      <c r="C1047" t="s">
        <v>4734</v>
      </c>
      <c r="D1047" t="s">
        <v>4732</v>
      </c>
      <c r="E1047" t="s">
        <v>4643</v>
      </c>
      <c r="H1047" t="s">
        <v>147</v>
      </c>
      <c r="I1047" t="s">
        <v>4733</v>
      </c>
    </row>
    <row r="1048" spans="1:9" x14ac:dyDescent="0.35">
      <c r="A1048" t="s">
        <v>4735</v>
      </c>
      <c r="B1048" t="str">
        <f>"9781438442990"</f>
        <v>9781438442990</v>
      </c>
      <c r="C1048" t="s">
        <v>4738</v>
      </c>
      <c r="D1048" t="s">
        <v>4736</v>
      </c>
      <c r="E1048" t="s">
        <v>4643</v>
      </c>
      <c r="F1048" t="s">
        <v>4644</v>
      </c>
      <c r="H1048" t="s">
        <v>22</v>
      </c>
      <c r="I1048" t="s">
        <v>4737</v>
      </c>
    </row>
    <row r="1049" spans="1:9" x14ac:dyDescent="0.35">
      <c r="A1049" t="s">
        <v>4739</v>
      </c>
      <c r="B1049" t="str">
        <f>"9781438444086"</f>
        <v>9781438444086</v>
      </c>
      <c r="C1049" t="s">
        <v>4742</v>
      </c>
      <c r="D1049" t="s">
        <v>4740</v>
      </c>
      <c r="E1049" t="s">
        <v>4643</v>
      </c>
      <c r="H1049" t="s">
        <v>22</v>
      </c>
      <c r="I1049" t="s">
        <v>4741</v>
      </c>
    </row>
    <row r="1050" spans="1:9" x14ac:dyDescent="0.35">
      <c r="A1050" t="s">
        <v>4743</v>
      </c>
      <c r="B1050" t="str">
        <f>"9781438445274"</f>
        <v>9781438445274</v>
      </c>
      <c r="C1050" t="s">
        <v>4747</v>
      </c>
      <c r="D1050" t="s">
        <v>4745</v>
      </c>
      <c r="E1050" t="s">
        <v>4643</v>
      </c>
      <c r="F1050" t="s">
        <v>4744</v>
      </c>
      <c r="H1050" t="s">
        <v>22</v>
      </c>
      <c r="I1050" t="s">
        <v>4746</v>
      </c>
    </row>
    <row r="1051" spans="1:9" x14ac:dyDescent="0.35">
      <c r="A1051" t="s">
        <v>4748</v>
      </c>
      <c r="B1051" t="str">
        <f>"9781438445854"</f>
        <v>9781438445854</v>
      </c>
      <c r="C1051" t="s">
        <v>4751</v>
      </c>
      <c r="D1051" t="s">
        <v>4749</v>
      </c>
      <c r="E1051" t="s">
        <v>4643</v>
      </c>
      <c r="H1051" t="s">
        <v>22</v>
      </c>
      <c r="I1051" t="s">
        <v>4750</v>
      </c>
    </row>
    <row r="1052" spans="1:9" x14ac:dyDescent="0.35">
      <c r="A1052" t="s">
        <v>4752</v>
      </c>
      <c r="B1052" t="str">
        <f>"9781438447186"</f>
        <v>9781438447186</v>
      </c>
      <c r="C1052" t="s">
        <v>4755</v>
      </c>
      <c r="D1052" t="s">
        <v>4753</v>
      </c>
      <c r="E1052" t="s">
        <v>4643</v>
      </c>
      <c r="H1052" t="s">
        <v>22</v>
      </c>
      <c r="I1052" t="s">
        <v>4754</v>
      </c>
    </row>
    <row r="1053" spans="1:9" x14ac:dyDescent="0.35">
      <c r="A1053" t="s">
        <v>4756</v>
      </c>
      <c r="B1053" t="str">
        <f>"9781438446561"</f>
        <v>9781438446561</v>
      </c>
      <c r="C1053" t="s">
        <v>4760</v>
      </c>
      <c r="D1053" t="s">
        <v>4758</v>
      </c>
      <c r="E1053" t="s">
        <v>4643</v>
      </c>
      <c r="F1053" t="s">
        <v>4757</v>
      </c>
      <c r="H1053" t="s">
        <v>1162</v>
      </c>
      <c r="I1053" t="s">
        <v>4759</v>
      </c>
    </row>
    <row r="1054" spans="1:9" x14ac:dyDescent="0.35">
      <c r="A1054" t="s">
        <v>4761</v>
      </c>
      <c r="B1054" t="str">
        <f>"9781438448015"</f>
        <v>9781438448015</v>
      </c>
      <c r="C1054" t="s">
        <v>4764</v>
      </c>
      <c r="D1054" t="s">
        <v>4762</v>
      </c>
      <c r="E1054" t="s">
        <v>4643</v>
      </c>
      <c r="H1054" t="s">
        <v>163</v>
      </c>
      <c r="I1054" t="s">
        <v>4763</v>
      </c>
    </row>
    <row r="1055" spans="1:9" x14ac:dyDescent="0.35">
      <c r="A1055" t="s">
        <v>4765</v>
      </c>
      <c r="B1055" t="str">
        <f>"9781438449883"</f>
        <v>9781438449883</v>
      </c>
      <c r="C1055" t="s">
        <v>4768</v>
      </c>
      <c r="D1055" t="s">
        <v>4766</v>
      </c>
      <c r="E1055" t="s">
        <v>4643</v>
      </c>
      <c r="F1055" t="s">
        <v>4644</v>
      </c>
      <c r="H1055" t="s">
        <v>163</v>
      </c>
      <c r="I1055" t="s">
        <v>4767</v>
      </c>
    </row>
    <row r="1056" spans="1:9" x14ac:dyDescent="0.35">
      <c r="A1056" t="s">
        <v>4769</v>
      </c>
      <c r="B1056" t="str">
        <f>"9781438448794"</f>
        <v>9781438448794</v>
      </c>
      <c r="C1056" t="s">
        <v>4772</v>
      </c>
      <c r="D1056" t="s">
        <v>4770</v>
      </c>
      <c r="E1056" t="s">
        <v>4643</v>
      </c>
      <c r="H1056" t="s">
        <v>22</v>
      </c>
      <c r="I1056" t="s">
        <v>4771</v>
      </c>
    </row>
    <row r="1057" spans="1:9" x14ac:dyDescent="0.35">
      <c r="A1057" t="s">
        <v>4773</v>
      </c>
      <c r="B1057" t="str">
        <f>"9781438449500"</f>
        <v>9781438449500</v>
      </c>
      <c r="C1057" t="s">
        <v>4777</v>
      </c>
      <c r="D1057" t="s">
        <v>4775</v>
      </c>
      <c r="E1057" t="s">
        <v>4643</v>
      </c>
      <c r="F1057" t="s">
        <v>4774</v>
      </c>
      <c r="H1057" t="s">
        <v>22</v>
      </c>
      <c r="I1057" t="s">
        <v>4776</v>
      </c>
    </row>
    <row r="1058" spans="1:9" x14ac:dyDescent="0.35">
      <c r="A1058" t="s">
        <v>4778</v>
      </c>
      <c r="B1058" t="str">
        <f>"9781438451138"</f>
        <v>9781438451138</v>
      </c>
      <c r="C1058" t="s">
        <v>4781</v>
      </c>
      <c r="D1058" t="s">
        <v>4779</v>
      </c>
      <c r="E1058" t="s">
        <v>4643</v>
      </c>
      <c r="F1058" t="s">
        <v>4644</v>
      </c>
      <c r="H1058" t="s">
        <v>163</v>
      </c>
      <c r="I1058" t="s">
        <v>4780</v>
      </c>
    </row>
    <row r="1059" spans="1:9" x14ac:dyDescent="0.35">
      <c r="A1059" t="s">
        <v>4782</v>
      </c>
      <c r="B1059" t="str">
        <f>"9781438451848"</f>
        <v>9781438451848</v>
      </c>
      <c r="C1059" t="s">
        <v>4786</v>
      </c>
      <c r="D1059" t="s">
        <v>4784</v>
      </c>
      <c r="E1059" t="s">
        <v>4643</v>
      </c>
      <c r="F1059" t="s">
        <v>4783</v>
      </c>
      <c r="H1059" t="s">
        <v>1162</v>
      </c>
      <c r="I1059" t="s">
        <v>4785</v>
      </c>
    </row>
    <row r="1060" spans="1:9" x14ac:dyDescent="0.35">
      <c r="A1060" t="s">
        <v>4787</v>
      </c>
      <c r="B1060" t="str">
        <f>"9781438452203"</f>
        <v>9781438452203</v>
      </c>
      <c r="C1060" t="s">
        <v>4791</v>
      </c>
      <c r="D1060" t="s">
        <v>4789</v>
      </c>
      <c r="E1060" t="s">
        <v>4643</v>
      </c>
      <c r="F1060" t="s">
        <v>4788</v>
      </c>
      <c r="H1060" t="s">
        <v>22</v>
      </c>
      <c r="I1060" t="s">
        <v>4790</v>
      </c>
    </row>
    <row r="1061" spans="1:9" x14ac:dyDescent="0.35">
      <c r="A1061" t="s">
        <v>4792</v>
      </c>
      <c r="B1061" t="str">
        <f>"9781438452234"</f>
        <v>9781438452234</v>
      </c>
      <c r="C1061" t="s">
        <v>4795</v>
      </c>
      <c r="D1061" t="s">
        <v>4793</v>
      </c>
      <c r="E1061" t="s">
        <v>4643</v>
      </c>
      <c r="F1061" t="s">
        <v>4644</v>
      </c>
      <c r="H1061" t="s">
        <v>22</v>
      </c>
      <c r="I1061" t="s">
        <v>4794</v>
      </c>
    </row>
    <row r="1062" spans="1:9" x14ac:dyDescent="0.35">
      <c r="A1062" t="s">
        <v>4796</v>
      </c>
      <c r="B1062" t="str">
        <f>"9781438453361"</f>
        <v>9781438453361</v>
      </c>
      <c r="C1062" t="s">
        <v>4800</v>
      </c>
      <c r="D1062" t="s">
        <v>4798</v>
      </c>
      <c r="E1062" t="s">
        <v>4643</v>
      </c>
      <c r="F1062" t="s">
        <v>4797</v>
      </c>
      <c r="H1062" t="s">
        <v>22</v>
      </c>
      <c r="I1062" t="s">
        <v>4799</v>
      </c>
    </row>
    <row r="1063" spans="1:9" x14ac:dyDescent="0.35">
      <c r="A1063" t="s">
        <v>4801</v>
      </c>
      <c r="B1063" t="str">
        <f>"9781438453064"</f>
        <v>9781438453064</v>
      </c>
      <c r="C1063" t="s">
        <v>4804</v>
      </c>
      <c r="D1063" t="s">
        <v>4802</v>
      </c>
      <c r="E1063" t="s">
        <v>4643</v>
      </c>
      <c r="H1063" t="s">
        <v>636</v>
      </c>
      <c r="I1063" t="s">
        <v>4803</v>
      </c>
    </row>
    <row r="1064" spans="1:9" x14ac:dyDescent="0.35">
      <c r="A1064" t="s">
        <v>4805</v>
      </c>
      <c r="B1064" t="str">
        <f>"9781438453910"</f>
        <v>9781438453910</v>
      </c>
      <c r="C1064" t="s">
        <v>4808</v>
      </c>
      <c r="D1064" t="s">
        <v>4806</v>
      </c>
      <c r="E1064" t="s">
        <v>4643</v>
      </c>
      <c r="H1064" t="s">
        <v>209</v>
      </c>
      <c r="I1064" t="s">
        <v>4807</v>
      </c>
    </row>
    <row r="1065" spans="1:9" x14ac:dyDescent="0.35">
      <c r="A1065" t="s">
        <v>4809</v>
      </c>
      <c r="B1065" t="str">
        <f>"9780815651550"</f>
        <v>9780815651550</v>
      </c>
      <c r="C1065" t="s">
        <v>4814</v>
      </c>
      <c r="D1065" t="s">
        <v>4812</v>
      </c>
      <c r="E1065" t="s">
        <v>4810</v>
      </c>
      <c r="F1065" t="s">
        <v>4811</v>
      </c>
      <c r="H1065" t="s">
        <v>397</v>
      </c>
      <c r="I1065" t="s">
        <v>4813</v>
      </c>
    </row>
    <row r="1066" spans="1:9" x14ac:dyDescent="0.35">
      <c r="A1066" t="s">
        <v>4815</v>
      </c>
      <c r="B1066" t="str">
        <f>"9780815650898"</f>
        <v>9780815650898</v>
      </c>
      <c r="C1066" t="s">
        <v>4818</v>
      </c>
      <c r="D1066" t="s">
        <v>4816</v>
      </c>
      <c r="E1066" t="s">
        <v>4810</v>
      </c>
      <c r="F1066" t="s">
        <v>4811</v>
      </c>
      <c r="H1066" t="s">
        <v>147</v>
      </c>
      <c r="I1066" t="s">
        <v>4817</v>
      </c>
    </row>
    <row r="1067" spans="1:9" x14ac:dyDescent="0.35">
      <c r="A1067" t="s">
        <v>4819</v>
      </c>
      <c r="B1067" t="str">
        <f>"9781412846769"</f>
        <v>9781412846769</v>
      </c>
      <c r="C1067" t="s">
        <v>4822</v>
      </c>
      <c r="D1067" t="s">
        <v>4820</v>
      </c>
      <c r="E1067" t="s">
        <v>9</v>
      </c>
      <c r="H1067" t="s">
        <v>22</v>
      </c>
      <c r="I1067" t="s">
        <v>4821</v>
      </c>
    </row>
    <row r="1068" spans="1:9" x14ac:dyDescent="0.35">
      <c r="A1068" t="s">
        <v>4823</v>
      </c>
      <c r="B1068" t="str">
        <f>"9780816501120"</f>
        <v>9780816501120</v>
      </c>
      <c r="C1068" t="s">
        <v>4827</v>
      </c>
      <c r="D1068" t="s">
        <v>4825</v>
      </c>
      <c r="E1068" t="s">
        <v>4824</v>
      </c>
      <c r="H1068" t="s">
        <v>22</v>
      </c>
      <c r="I1068" t="s">
        <v>4826</v>
      </c>
    </row>
    <row r="1069" spans="1:9" x14ac:dyDescent="0.35">
      <c r="A1069" t="s">
        <v>4828</v>
      </c>
      <c r="B1069" t="str">
        <f>"9780774851152"</f>
        <v>9780774851152</v>
      </c>
      <c r="C1069" t="s">
        <v>4833</v>
      </c>
      <c r="D1069" t="s">
        <v>4831</v>
      </c>
      <c r="E1069" t="s">
        <v>4829</v>
      </c>
      <c r="F1069" t="s">
        <v>4830</v>
      </c>
      <c r="H1069" t="s">
        <v>22</v>
      </c>
      <c r="I1069" t="s">
        <v>4832</v>
      </c>
    </row>
    <row r="1070" spans="1:9" x14ac:dyDescent="0.35">
      <c r="A1070" t="s">
        <v>4834</v>
      </c>
      <c r="B1070" t="str">
        <f>"9780774853583"</f>
        <v>9780774853583</v>
      </c>
      <c r="C1070" t="s">
        <v>4838</v>
      </c>
      <c r="D1070" t="s">
        <v>4836</v>
      </c>
      <c r="E1070" t="s">
        <v>4829</v>
      </c>
      <c r="F1070" t="s">
        <v>4835</v>
      </c>
      <c r="H1070" t="s">
        <v>147</v>
      </c>
      <c r="I1070" t="s">
        <v>4837</v>
      </c>
    </row>
    <row r="1071" spans="1:9" x14ac:dyDescent="0.35">
      <c r="A1071" t="s">
        <v>4839</v>
      </c>
      <c r="B1071" t="str">
        <f>"9780774851855"</f>
        <v>9780774851855</v>
      </c>
      <c r="C1071" t="s">
        <v>4843</v>
      </c>
      <c r="D1071" t="s">
        <v>4841</v>
      </c>
      <c r="E1071" t="s">
        <v>4829</v>
      </c>
      <c r="F1071" t="s">
        <v>4840</v>
      </c>
      <c r="H1071" t="s">
        <v>22</v>
      </c>
      <c r="I1071" t="s">
        <v>4842</v>
      </c>
    </row>
    <row r="1072" spans="1:9" x14ac:dyDescent="0.35">
      <c r="A1072" t="s">
        <v>4844</v>
      </c>
      <c r="B1072" t="str">
        <f>"9780774855716"</f>
        <v>9780774855716</v>
      </c>
      <c r="C1072" t="s">
        <v>4848</v>
      </c>
      <c r="D1072" t="s">
        <v>4846</v>
      </c>
      <c r="E1072" t="s">
        <v>4829</v>
      </c>
      <c r="F1072" t="s">
        <v>4845</v>
      </c>
      <c r="H1072" t="s">
        <v>209</v>
      </c>
      <c r="I1072" t="s">
        <v>4847</v>
      </c>
    </row>
    <row r="1073" spans="1:9" x14ac:dyDescent="0.35">
      <c r="A1073" t="s">
        <v>4849</v>
      </c>
      <c r="B1073" t="str">
        <f>"9780774855143"</f>
        <v>9780774855143</v>
      </c>
      <c r="C1073" t="s">
        <v>4852</v>
      </c>
      <c r="D1073" t="s">
        <v>4850</v>
      </c>
      <c r="E1073" t="s">
        <v>4829</v>
      </c>
      <c r="F1073" t="s">
        <v>4845</v>
      </c>
      <c r="H1073" t="s">
        <v>22</v>
      </c>
      <c r="I1073" t="s">
        <v>4851</v>
      </c>
    </row>
    <row r="1074" spans="1:9" x14ac:dyDescent="0.35">
      <c r="A1074" t="s">
        <v>4853</v>
      </c>
      <c r="B1074" t="str">
        <f>"9780774856119"</f>
        <v>9780774856119</v>
      </c>
      <c r="C1074" t="s">
        <v>4856</v>
      </c>
      <c r="D1074" t="s">
        <v>4854</v>
      </c>
      <c r="E1074" t="s">
        <v>4829</v>
      </c>
      <c r="F1074" t="s">
        <v>4845</v>
      </c>
      <c r="H1074" t="s">
        <v>86</v>
      </c>
      <c r="I1074" t="s">
        <v>4855</v>
      </c>
    </row>
    <row r="1075" spans="1:9" x14ac:dyDescent="0.35">
      <c r="A1075" t="s">
        <v>4857</v>
      </c>
      <c r="B1075" t="str">
        <f>"9780774817226"</f>
        <v>9780774817226</v>
      </c>
      <c r="C1075" t="s">
        <v>4860</v>
      </c>
      <c r="D1075" t="s">
        <v>4858</v>
      </c>
      <c r="E1075" t="s">
        <v>4829</v>
      </c>
      <c r="F1075" t="s">
        <v>4835</v>
      </c>
      <c r="H1075" t="s">
        <v>22</v>
      </c>
      <c r="I1075" t="s">
        <v>4859</v>
      </c>
    </row>
    <row r="1076" spans="1:9" x14ac:dyDescent="0.35">
      <c r="A1076" t="s">
        <v>4861</v>
      </c>
      <c r="B1076" t="str">
        <f>"9780774820110"</f>
        <v>9780774820110</v>
      </c>
      <c r="C1076" t="s">
        <v>4864</v>
      </c>
      <c r="D1076" t="s">
        <v>4862</v>
      </c>
      <c r="E1076" t="s">
        <v>4829</v>
      </c>
      <c r="H1076" t="s">
        <v>625</v>
      </c>
      <c r="I1076" t="s">
        <v>4863</v>
      </c>
    </row>
    <row r="1077" spans="1:9" x14ac:dyDescent="0.35">
      <c r="A1077" t="s">
        <v>4865</v>
      </c>
      <c r="B1077" t="str">
        <f>"9781908258182"</f>
        <v>9781908258182</v>
      </c>
      <c r="C1077" t="s">
        <v>4869</v>
      </c>
      <c r="D1077" t="s">
        <v>4867</v>
      </c>
      <c r="E1077" t="s">
        <v>4866</v>
      </c>
      <c r="H1077" t="s">
        <v>116</v>
      </c>
      <c r="I1077" t="s">
        <v>4868</v>
      </c>
    </row>
    <row r="1078" spans="1:9" x14ac:dyDescent="0.35">
      <c r="A1078" t="s">
        <v>4870</v>
      </c>
      <c r="B1078" t="str">
        <f>"9780252090967"</f>
        <v>9780252090967</v>
      </c>
      <c r="C1078" t="s">
        <v>4874</v>
      </c>
      <c r="D1078" t="s">
        <v>4872</v>
      </c>
      <c r="E1078" t="s">
        <v>4871</v>
      </c>
      <c r="H1078" t="s">
        <v>22</v>
      </c>
      <c r="I1078" t="s">
        <v>4873</v>
      </c>
    </row>
    <row r="1079" spans="1:9" x14ac:dyDescent="0.35">
      <c r="A1079" t="s">
        <v>4875</v>
      </c>
      <c r="B1079" t="str">
        <f>"9780252093470"</f>
        <v>9780252093470</v>
      </c>
      <c r="C1079" t="s">
        <v>4879</v>
      </c>
      <c r="D1079" t="s">
        <v>4877</v>
      </c>
      <c r="E1079" t="s">
        <v>4871</v>
      </c>
      <c r="F1079" t="s">
        <v>4876</v>
      </c>
      <c r="H1079" t="s">
        <v>138</v>
      </c>
      <c r="I1079" t="s">
        <v>4878</v>
      </c>
    </row>
    <row r="1080" spans="1:9" x14ac:dyDescent="0.35">
      <c r="A1080" t="s">
        <v>4880</v>
      </c>
      <c r="B1080" t="str">
        <f>"9780252093678"</f>
        <v>9780252093678</v>
      </c>
      <c r="C1080" t="s">
        <v>4884</v>
      </c>
      <c r="D1080" t="s">
        <v>4882</v>
      </c>
      <c r="E1080" t="s">
        <v>4871</v>
      </c>
      <c r="F1080" t="s">
        <v>4881</v>
      </c>
      <c r="H1080" t="s">
        <v>237</v>
      </c>
      <c r="I1080" t="s">
        <v>4883</v>
      </c>
    </row>
    <row r="1081" spans="1:9" x14ac:dyDescent="0.35">
      <c r="A1081" t="s">
        <v>4885</v>
      </c>
      <c r="B1081" t="str">
        <f>"9780252091377"</f>
        <v>9780252091377</v>
      </c>
      <c r="C1081" t="s">
        <v>4888</v>
      </c>
      <c r="D1081" t="s">
        <v>4886</v>
      </c>
      <c r="E1081" t="s">
        <v>4871</v>
      </c>
      <c r="H1081" t="s">
        <v>22</v>
      </c>
      <c r="I1081" t="s">
        <v>4887</v>
      </c>
    </row>
    <row r="1082" spans="1:9" x14ac:dyDescent="0.35">
      <c r="A1082" t="s">
        <v>4889</v>
      </c>
      <c r="B1082" t="str">
        <f>"9780252093661"</f>
        <v>9780252093661</v>
      </c>
      <c r="C1082" t="s">
        <v>4892</v>
      </c>
      <c r="D1082" t="s">
        <v>4890</v>
      </c>
      <c r="E1082" t="s">
        <v>4871</v>
      </c>
      <c r="H1082" t="s">
        <v>86</v>
      </c>
      <c r="I1082" t="s">
        <v>4891</v>
      </c>
    </row>
    <row r="1083" spans="1:9" x14ac:dyDescent="0.35">
      <c r="A1083" t="s">
        <v>4893</v>
      </c>
      <c r="B1083" t="str">
        <f>"9780252092169"</f>
        <v>9780252092169</v>
      </c>
      <c r="C1083" t="s">
        <v>4895</v>
      </c>
      <c r="D1083" t="s">
        <v>4894</v>
      </c>
      <c r="E1083" t="s">
        <v>4871</v>
      </c>
      <c r="H1083" t="s">
        <v>22</v>
      </c>
      <c r="I1083" t="s">
        <v>447</v>
      </c>
    </row>
    <row r="1084" spans="1:9" x14ac:dyDescent="0.35">
      <c r="A1084" t="s">
        <v>4896</v>
      </c>
      <c r="B1084" t="str">
        <f>"9780252092862"</f>
        <v>9780252092862</v>
      </c>
      <c r="C1084" t="s">
        <v>4899</v>
      </c>
      <c r="D1084" t="s">
        <v>4897</v>
      </c>
      <c r="E1084" t="s">
        <v>4871</v>
      </c>
      <c r="H1084" t="s">
        <v>625</v>
      </c>
      <c r="I1084" t="s">
        <v>4898</v>
      </c>
    </row>
    <row r="1085" spans="1:9" x14ac:dyDescent="0.35">
      <c r="A1085" t="s">
        <v>4900</v>
      </c>
      <c r="B1085" t="str">
        <f>"9780252093555"</f>
        <v>9780252093555</v>
      </c>
      <c r="C1085" t="s">
        <v>4903</v>
      </c>
      <c r="D1085" t="s">
        <v>4901</v>
      </c>
      <c r="E1085" t="s">
        <v>4871</v>
      </c>
      <c r="H1085" t="s">
        <v>330</v>
      </c>
      <c r="I1085" t="s">
        <v>4902</v>
      </c>
    </row>
    <row r="1086" spans="1:9" x14ac:dyDescent="0.35">
      <c r="A1086" t="s">
        <v>4904</v>
      </c>
      <c r="B1086" t="str">
        <f>"9780252091810"</f>
        <v>9780252091810</v>
      </c>
      <c r="C1086" t="s">
        <v>4907</v>
      </c>
      <c r="D1086" t="s">
        <v>4905</v>
      </c>
      <c r="E1086" t="s">
        <v>4871</v>
      </c>
      <c r="H1086" t="s">
        <v>22</v>
      </c>
      <c r="I1086" t="s">
        <v>4906</v>
      </c>
    </row>
    <row r="1087" spans="1:9" x14ac:dyDescent="0.35">
      <c r="A1087" t="s">
        <v>4908</v>
      </c>
      <c r="B1087" t="str">
        <f>"9780252092855"</f>
        <v>9780252092855</v>
      </c>
      <c r="C1087" t="s">
        <v>4911</v>
      </c>
      <c r="D1087" t="s">
        <v>4909</v>
      </c>
      <c r="E1087" t="s">
        <v>4871</v>
      </c>
      <c r="H1087" t="s">
        <v>625</v>
      </c>
      <c r="I1087" t="s">
        <v>4910</v>
      </c>
    </row>
    <row r="1088" spans="1:9" x14ac:dyDescent="0.35">
      <c r="A1088" t="s">
        <v>4912</v>
      </c>
      <c r="B1088" t="str">
        <f>"9780252094415"</f>
        <v>9780252094415</v>
      </c>
      <c r="C1088" t="s">
        <v>4916</v>
      </c>
      <c r="D1088" t="s">
        <v>4914</v>
      </c>
      <c r="E1088" t="s">
        <v>4871</v>
      </c>
      <c r="F1088" t="s">
        <v>4913</v>
      </c>
      <c r="H1088" t="s">
        <v>22</v>
      </c>
      <c r="I1088" t="s">
        <v>4915</v>
      </c>
    </row>
    <row r="1089" spans="1:9" x14ac:dyDescent="0.35">
      <c r="A1089" t="s">
        <v>4917</v>
      </c>
      <c r="B1089" t="str">
        <f>"9780252092183"</f>
        <v>9780252092183</v>
      </c>
      <c r="C1089" t="s">
        <v>4921</v>
      </c>
      <c r="D1089" t="s">
        <v>4919</v>
      </c>
      <c r="E1089" t="s">
        <v>4871</v>
      </c>
      <c r="F1089" t="s">
        <v>4918</v>
      </c>
      <c r="H1089" t="s">
        <v>22</v>
      </c>
      <c r="I1089" t="s">
        <v>4920</v>
      </c>
    </row>
    <row r="1090" spans="1:9" x14ac:dyDescent="0.35">
      <c r="A1090" t="s">
        <v>4922</v>
      </c>
      <c r="B1090" t="str">
        <f>"9780252092909"</f>
        <v>9780252092909</v>
      </c>
      <c r="C1090" t="s">
        <v>4925</v>
      </c>
      <c r="D1090" t="s">
        <v>4923</v>
      </c>
      <c r="E1090" t="s">
        <v>4871</v>
      </c>
      <c r="H1090" t="s">
        <v>22</v>
      </c>
      <c r="I1090" t="s">
        <v>4924</v>
      </c>
    </row>
    <row r="1091" spans="1:9" x14ac:dyDescent="0.35">
      <c r="A1091" t="s">
        <v>4926</v>
      </c>
      <c r="B1091" t="str">
        <f>"9780252091285"</f>
        <v>9780252091285</v>
      </c>
      <c r="C1091" t="s">
        <v>4929</v>
      </c>
      <c r="D1091" t="s">
        <v>4927</v>
      </c>
      <c r="E1091" t="s">
        <v>4871</v>
      </c>
      <c r="H1091" t="s">
        <v>22</v>
      </c>
      <c r="I1091" t="s">
        <v>4928</v>
      </c>
    </row>
    <row r="1092" spans="1:9" x14ac:dyDescent="0.35">
      <c r="A1092" t="s">
        <v>4930</v>
      </c>
      <c r="B1092" t="str">
        <f>"9780252091049"</f>
        <v>9780252091049</v>
      </c>
      <c r="C1092" t="s">
        <v>4934</v>
      </c>
      <c r="D1092" t="s">
        <v>4932</v>
      </c>
      <c r="E1092" t="s">
        <v>4871</v>
      </c>
      <c r="F1092" t="s">
        <v>4931</v>
      </c>
      <c r="H1092" t="s">
        <v>86</v>
      </c>
      <c r="I1092" t="s">
        <v>4933</v>
      </c>
    </row>
    <row r="1093" spans="1:9" x14ac:dyDescent="0.35">
      <c r="A1093" t="s">
        <v>4935</v>
      </c>
      <c r="B1093" t="str">
        <f>"9780252094811"</f>
        <v>9780252094811</v>
      </c>
      <c r="C1093" t="s">
        <v>4939</v>
      </c>
      <c r="D1093" t="s">
        <v>4937</v>
      </c>
      <c r="E1093" t="s">
        <v>4871</v>
      </c>
      <c r="F1093" t="s">
        <v>4936</v>
      </c>
      <c r="H1093" t="s">
        <v>86</v>
      </c>
      <c r="I1093" t="s">
        <v>4938</v>
      </c>
    </row>
    <row r="1094" spans="1:9" x14ac:dyDescent="0.35">
      <c r="A1094" t="s">
        <v>4940</v>
      </c>
      <c r="B1094" t="str">
        <f>"9780252094873"</f>
        <v>9780252094873</v>
      </c>
      <c r="C1094" t="s">
        <v>4943</v>
      </c>
      <c r="D1094" t="s">
        <v>4941</v>
      </c>
      <c r="E1094" t="s">
        <v>4871</v>
      </c>
      <c r="H1094" t="s">
        <v>22</v>
      </c>
      <c r="I1094" t="s">
        <v>4942</v>
      </c>
    </row>
    <row r="1095" spans="1:9" x14ac:dyDescent="0.35">
      <c r="A1095" t="s">
        <v>4944</v>
      </c>
      <c r="B1095" t="str">
        <f>"9780252095115"</f>
        <v>9780252095115</v>
      </c>
      <c r="C1095" t="s">
        <v>4947</v>
      </c>
      <c r="D1095" t="s">
        <v>4945</v>
      </c>
      <c r="E1095" t="s">
        <v>4871</v>
      </c>
      <c r="H1095" t="s">
        <v>1313</v>
      </c>
      <c r="I1095" t="s">
        <v>4946</v>
      </c>
    </row>
    <row r="1096" spans="1:9" x14ac:dyDescent="0.35">
      <c r="A1096" t="s">
        <v>4948</v>
      </c>
      <c r="B1096" t="str">
        <f>"9780252095382"</f>
        <v>9780252095382</v>
      </c>
      <c r="C1096" t="s">
        <v>4951</v>
      </c>
      <c r="D1096" t="s">
        <v>4949</v>
      </c>
      <c r="E1096" t="s">
        <v>4871</v>
      </c>
      <c r="H1096" t="s">
        <v>22</v>
      </c>
      <c r="I1096" t="s">
        <v>4950</v>
      </c>
    </row>
    <row r="1097" spans="1:9" x14ac:dyDescent="0.35">
      <c r="A1097" t="s">
        <v>4952</v>
      </c>
      <c r="B1097" t="str">
        <f>"9780252095009"</f>
        <v>9780252095009</v>
      </c>
      <c r="C1097" t="s">
        <v>4955</v>
      </c>
      <c r="D1097" t="s">
        <v>4953</v>
      </c>
      <c r="E1097" t="s">
        <v>4871</v>
      </c>
      <c r="H1097" t="s">
        <v>22</v>
      </c>
      <c r="I1097" t="s">
        <v>4954</v>
      </c>
    </row>
    <row r="1098" spans="1:9" x14ac:dyDescent="0.35">
      <c r="A1098" t="s">
        <v>4956</v>
      </c>
      <c r="B1098" t="str">
        <f>"9780252096143"</f>
        <v>9780252096143</v>
      </c>
      <c r="C1098" t="s">
        <v>4960</v>
      </c>
      <c r="D1098" t="s">
        <v>4958</v>
      </c>
      <c r="E1098" t="s">
        <v>4871</v>
      </c>
      <c r="F1098" t="s">
        <v>4957</v>
      </c>
      <c r="H1098" t="s">
        <v>86</v>
      </c>
      <c r="I1098" t="s">
        <v>4959</v>
      </c>
    </row>
    <row r="1099" spans="1:9" x14ac:dyDescent="0.35">
      <c r="A1099" t="s">
        <v>4961</v>
      </c>
      <c r="B1099" t="str">
        <f>"9780252096549"</f>
        <v>9780252096549</v>
      </c>
      <c r="C1099" t="s">
        <v>4964</v>
      </c>
      <c r="D1099" t="s">
        <v>4962</v>
      </c>
      <c r="E1099" t="s">
        <v>4871</v>
      </c>
      <c r="F1099" t="s">
        <v>4936</v>
      </c>
      <c r="H1099" t="s">
        <v>86</v>
      </c>
      <c r="I1099" t="s">
        <v>4963</v>
      </c>
    </row>
    <row r="1100" spans="1:9" x14ac:dyDescent="0.35">
      <c r="A1100" t="s">
        <v>4965</v>
      </c>
      <c r="B1100" t="str">
        <f>"9780252096914"</f>
        <v>9780252096914</v>
      </c>
      <c r="C1100" t="s">
        <v>4968</v>
      </c>
      <c r="D1100" t="s">
        <v>4966</v>
      </c>
      <c r="E1100" t="s">
        <v>4871</v>
      </c>
      <c r="F1100" t="s">
        <v>4957</v>
      </c>
      <c r="H1100" t="s">
        <v>116</v>
      </c>
      <c r="I1100" t="s">
        <v>4967</v>
      </c>
    </row>
    <row r="1101" spans="1:9" x14ac:dyDescent="0.35">
      <c r="A1101" t="s">
        <v>4969</v>
      </c>
      <c r="B1101" t="str">
        <f>"9780252096846"</f>
        <v>9780252096846</v>
      </c>
      <c r="C1101" t="s">
        <v>4972</v>
      </c>
      <c r="D1101" t="s">
        <v>4970</v>
      </c>
      <c r="E1101" t="s">
        <v>4871</v>
      </c>
      <c r="H1101" t="s">
        <v>22</v>
      </c>
      <c r="I1101" t="s">
        <v>4971</v>
      </c>
    </row>
    <row r="1102" spans="1:9" x14ac:dyDescent="0.35">
      <c r="A1102" t="s">
        <v>4973</v>
      </c>
      <c r="B1102" t="str">
        <f>"9780472024650"</f>
        <v>9780472024650</v>
      </c>
      <c r="C1102" t="s">
        <v>4977</v>
      </c>
      <c r="D1102" t="s">
        <v>4975</v>
      </c>
      <c r="E1102" t="s">
        <v>4974</v>
      </c>
      <c r="H1102" t="s">
        <v>147</v>
      </c>
      <c r="I1102" t="s">
        <v>4976</v>
      </c>
    </row>
    <row r="1103" spans="1:9" x14ac:dyDescent="0.35">
      <c r="A1103" t="s">
        <v>4978</v>
      </c>
      <c r="B1103" t="str">
        <f>"9780472025749"</f>
        <v>9780472025749</v>
      </c>
      <c r="C1103" t="s">
        <v>4981</v>
      </c>
      <c r="D1103" t="s">
        <v>4979</v>
      </c>
      <c r="E1103" t="s">
        <v>4974</v>
      </c>
      <c r="H1103" t="s">
        <v>22</v>
      </c>
      <c r="I1103" t="s">
        <v>4980</v>
      </c>
    </row>
    <row r="1104" spans="1:9" x14ac:dyDescent="0.35">
      <c r="A1104" t="s">
        <v>4982</v>
      </c>
      <c r="B1104" t="str">
        <f>"9780472026326"</f>
        <v>9780472026326</v>
      </c>
      <c r="C1104" t="s">
        <v>4985</v>
      </c>
      <c r="D1104" t="s">
        <v>4983</v>
      </c>
      <c r="E1104" t="s">
        <v>4974</v>
      </c>
      <c r="H1104" t="s">
        <v>147</v>
      </c>
      <c r="I1104" t="s">
        <v>4984</v>
      </c>
    </row>
    <row r="1105" spans="1:9" x14ac:dyDescent="0.35">
      <c r="A1105" t="s">
        <v>4986</v>
      </c>
      <c r="B1105" t="str">
        <f>"9780472024896"</f>
        <v>9780472024896</v>
      </c>
      <c r="C1105" t="s">
        <v>4989</v>
      </c>
      <c r="D1105" t="s">
        <v>4987</v>
      </c>
      <c r="E1105" t="s">
        <v>4974</v>
      </c>
      <c r="H1105" t="s">
        <v>22</v>
      </c>
      <c r="I1105" t="s">
        <v>4988</v>
      </c>
    </row>
    <row r="1106" spans="1:9" x14ac:dyDescent="0.35">
      <c r="A1106" t="s">
        <v>4990</v>
      </c>
      <c r="B1106" t="str">
        <f>"9780472026647"</f>
        <v>9780472026647</v>
      </c>
      <c r="C1106" t="s">
        <v>4994</v>
      </c>
      <c r="D1106" t="s">
        <v>4992</v>
      </c>
      <c r="E1106" t="s">
        <v>4974</v>
      </c>
      <c r="F1106" t="s">
        <v>4991</v>
      </c>
      <c r="H1106" t="s">
        <v>2511</v>
      </c>
      <c r="I1106" t="s">
        <v>4993</v>
      </c>
    </row>
    <row r="1107" spans="1:9" x14ac:dyDescent="0.35">
      <c r="A1107" t="s">
        <v>4995</v>
      </c>
      <c r="B1107" t="str">
        <f>"9780472027354"</f>
        <v>9780472027354</v>
      </c>
      <c r="C1107" t="s">
        <v>4998</v>
      </c>
      <c r="D1107" t="s">
        <v>4996</v>
      </c>
      <c r="E1107" t="s">
        <v>4974</v>
      </c>
      <c r="H1107" t="s">
        <v>70</v>
      </c>
      <c r="I1107" t="s">
        <v>4997</v>
      </c>
    </row>
    <row r="1108" spans="1:9" x14ac:dyDescent="0.35">
      <c r="A1108" t="s">
        <v>4999</v>
      </c>
      <c r="B1108" t="str">
        <f>"9780472028641"</f>
        <v>9780472028641</v>
      </c>
      <c r="C1108" t="s">
        <v>5003</v>
      </c>
      <c r="D1108" t="s">
        <v>5001</v>
      </c>
      <c r="E1108" t="s">
        <v>4974</v>
      </c>
      <c r="F1108" t="s">
        <v>5000</v>
      </c>
      <c r="H1108" t="s">
        <v>86</v>
      </c>
      <c r="I1108" t="s">
        <v>5002</v>
      </c>
    </row>
    <row r="1109" spans="1:9" x14ac:dyDescent="0.35">
      <c r="A1109" t="s">
        <v>5004</v>
      </c>
      <c r="B1109" t="str">
        <f>"9780472028733"</f>
        <v>9780472028733</v>
      </c>
      <c r="C1109" t="s">
        <v>5008</v>
      </c>
      <c r="D1109" t="s">
        <v>5006</v>
      </c>
      <c r="E1109" t="s">
        <v>4974</v>
      </c>
      <c r="F1109" t="s">
        <v>5005</v>
      </c>
      <c r="H1109" t="s">
        <v>1162</v>
      </c>
      <c r="I1109" t="s">
        <v>5007</v>
      </c>
    </row>
    <row r="1110" spans="1:9" x14ac:dyDescent="0.35">
      <c r="A1110" t="s">
        <v>5009</v>
      </c>
      <c r="B1110" t="str">
        <f>"9780814335567"</f>
        <v>9780814335567</v>
      </c>
      <c r="C1110" t="s">
        <v>5014</v>
      </c>
      <c r="D1110" t="s">
        <v>5012</v>
      </c>
      <c r="E1110" t="s">
        <v>5010</v>
      </c>
      <c r="F1110" t="s">
        <v>5011</v>
      </c>
      <c r="H1110" t="s">
        <v>86</v>
      </c>
      <c r="I1110" t="s">
        <v>5013</v>
      </c>
    </row>
    <row r="1111" spans="1:9" x14ac:dyDescent="0.35">
      <c r="A1111" t="s">
        <v>5015</v>
      </c>
      <c r="B1111" t="str">
        <f>"9780814336656"</f>
        <v>9780814336656</v>
      </c>
      <c r="C1111" t="s">
        <v>5019</v>
      </c>
      <c r="D1111" t="s">
        <v>5017</v>
      </c>
      <c r="E1111" t="s">
        <v>5010</v>
      </c>
      <c r="F1111" t="s">
        <v>5016</v>
      </c>
      <c r="H1111" t="s">
        <v>153</v>
      </c>
      <c r="I1111" t="s">
        <v>5018</v>
      </c>
    </row>
    <row r="1112" spans="1:9" x14ac:dyDescent="0.35">
      <c r="A1112" t="s">
        <v>5020</v>
      </c>
      <c r="B1112" t="str">
        <f>"9780814337097"</f>
        <v>9780814337097</v>
      </c>
      <c r="C1112" t="s">
        <v>5023</v>
      </c>
      <c r="D1112" t="s">
        <v>5021</v>
      </c>
      <c r="E1112" t="s">
        <v>5010</v>
      </c>
      <c r="H1112" t="s">
        <v>86</v>
      </c>
      <c r="I1112" t="s">
        <v>5022</v>
      </c>
    </row>
    <row r="1113" spans="1:9" x14ac:dyDescent="0.35">
      <c r="A1113" t="s">
        <v>5024</v>
      </c>
      <c r="B1113" t="str">
        <f>"9780814338995"</f>
        <v>9780814338995</v>
      </c>
      <c r="C1113" t="s">
        <v>5027</v>
      </c>
      <c r="D1113" t="s">
        <v>5025</v>
      </c>
      <c r="E1113" t="s">
        <v>5010</v>
      </c>
      <c r="H1113" t="s">
        <v>86</v>
      </c>
      <c r="I1113" t="s">
        <v>5026</v>
      </c>
    </row>
    <row r="1114" spans="1:9" x14ac:dyDescent="0.35">
      <c r="A1114" t="s">
        <v>5028</v>
      </c>
      <c r="B1114" t="str">
        <f>"9780814338254"</f>
        <v>9780814338254</v>
      </c>
      <c r="C1114" t="s">
        <v>5031</v>
      </c>
      <c r="D1114" t="s">
        <v>5029</v>
      </c>
      <c r="E1114" t="s">
        <v>5010</v>
      </c>
      <c r="H1114" t="s">
        <v>86</v>
      </c>
      <c r="I1114" t="s">
        <v>5030</v>
      </c>
    </row>
    <row r="1115" spans="1:9" x14ac:dyDescent="0.35">
      <c r="A1115" t="s">
        <v>5032</v>
      </c>
      <c r="B1115" t="str">
        <f>"9781935978053"</f>
        <v>9781935978053</v>
      </c>
      <c r="C1115" t="s">
        <v>5036</v>
      </c>
      <c r="D1115" t="s">
        <v>5034</v>
      </c>
      <c r="E1115" t="s">
        <v>5033</v>
      </c>
      <c r="H1115" t="s">
        <v>397</v>
      </c>
      <c r="I1115" t="s">
        <v>5035</v>
      </c>
    </row>
    <row r="1116" spans="1:9" x14ac:dyDescent="0.35">
      <c r="A1116" t="s">
        <v>5037</v>
      </c>
      <c r="B1116" t="str">
        <f>"9780300129939"</f>
        <v>9780300129939</v>
      </c>
      <c r="C1116" t="s">
        <v>5041</v>
      </c>
      <c r="D1116" t="s">
        <v>5039</v>
      </c>
      <c r="E1116" t="s">
        <v>5038</v>
      </c>
      <c r="H1116" t="s">
        <v>22</v>
      </c>
      <c r="I1116" t="s">
        <v>5040</v>
      </c>
    </row>
    <row r="1117" spans="1:9" x14ac:dyDescent="0.35">
      <c r="A1117" t="s">
        <v>5042</v>
      </c>
      <c r="B1117" t="str">
        <f>"9780300135138"</f>
        <v>9780300135138</v>
      </c>
      <c r="C1117" t="s">
        <v>5045</v>
      </c>
      <c r="D1117" t="s">
        <v>5043</v>
      </c>
      <c r="E1117" t="s">
        <v>5038</v>
      </c>
      <c r="H1117" t="s">
        <v>397</v>
      </c>
      <c r="I1117" t="s">
        <v>5044</v>
      </c>
    </row>
    <row r="1118" spans="1:9" x14ac:dyDescent="0.35">
      <c r="A1118" t="s">
        <v>5046</v>
      </c>
      <c r="B1118" t="str">
        <f>"9780300155921"</f>
        <v>9780300155921</v>
      </c>
      <c r="C1118" t="s">
        <v>5049</v>
      </c>
      <c r="D1118" t="s">
        <v>5047</v>
      </c>
      <c r="E1118" t="s">
        <v>5038</v>
      </c>
      <c r="H1118" t="s">
        <v>397</v>
      </c>
      <c r="I1118" t="s">
        <v>5048</v>
      </c>
    </row>
    <row r="1119" spans="1:9" x14ac:dyDescent="0.35">
      <c r="A1119" t="s">
        <v>5050</v>
      </c>
      <c r="B1119" t="str">
        <f>"9780300154948"</f>
        <v>9780300154948</v>
      </c>
      <c r="C1119" t="s">
        <v>5053</v>
      </c>
      <c r="D1119" t="s">
        <v>5051</v>
      </c>
      <c r="E1119" t="s">
        <v>5038</v>
      </c>
      <c r="H1119" t="s">
        <v>58</v>
      </c>
      <c r="I1119" t="s">
        <v>5052</v>
      </c>
    </row>
    <row r="1120" spans="1:9" x14ac:dyDescent="0.35">
      <c r="A1120" t="s">
        <v>5054</v>
      </c>
      <c r="B1120" t="str">
        <f>"9780300167412"</f>
        <v>9780300167412</v>
      </c>
      <c r="C1120" t="s">
        <v>5058</v>
      </c>
      <c r="D1120" t="s">
        <v>5056</v>
      </c>
      <c r="E1120" t="s">
        <v>5038</v>
      </c>
      <c r="F1120" t="s">
        <v>5055</v>
      </c>
      <c r="H1120" t="s">
        <v>163</v>
      </c>
      <c r="I1120" t="s">
        <v>5057</v>
      </c>
    </row>
    <row r="1121" spans="1:9" x14ac:dyDescent="0.35">
      <c r="A1121" t="s">
        <v>5059</v>
      </c>
      <c r="B1121" t="str">
        <f>"9780300160178"</f>
        <v>9780300160178</v>
      </c>
      <c r="C1121" t="s">
        <v>5063</v>
      </c>
      <c r="D1121" t="s">
        <v>5061</v>
      </c>
      <c r="E1121" t="s">
        <v>5038</v>
      </c>
      <c r="F1121" t="s">
        <v>5060</v>
      </c>
      <c r="H1121" t="s">
        <v>147</v>
      </c>
      <c r="I1121" t="s">
        <v>5062</v>
      </c>
    </row>
    <row r="1122" spans="1:9" x14ac:dyDescent="0.35">
      <c r="A1122" t="s">
        <v>5064</v>
      </c>
      <c r="B1122" t="str">
        <f>"9780300153781"</f>
        <v>9780300153781</v>
      </c>
      <c r="C1122" t="s">
        <v>5067</v>
      </c>
      <c r="D1122" t="s">
        <v>5065</v>
      </c>
      <c r="E1122" t="s">
        <v>5038</v>
      </c>
      <c r="H1122" t="s">
        <v>163</v>
      </c>
      <c r="I1122" t="s">
        <v>5066</v>
      </c>
    </row>
    <row r="1123" spans="1:9" x14ac:dyDescent="0.35">
      <c r="A1123" t="s">
        <v>5068</v>
      </c>
      <c r="B1123" t="str">
        <f>"9780300195170"</f>
        <v>9780300195170</v>
      </c>
      <c r="C1123" t="s">
        <v>5071</v>
      </c>
      <c r="D1123" t="s">
        <v>5069</v>
      </c>
      <c r="E1123" t="s">
        <v>5038</v>
      </c>
      <c r="H1123" t="s">
        <v>22</v>
      </c>
      <c r="I1123" t="s">
        <v>5070</v>
      </c>
    </row>
    <row r="1124" spans="1:9" x14ac:dyDescent="0.35">
      <c r="A1124" t="s">
        <v>5072</v>
      </c>
      <c r="B1124" t="str">
        <f>"9781119967606"</f>
        <v>9781119967606</v>
      </c>
      <c r="C1124" t="s">
        <v>5075</v>
      </c>
      <c r="D1124" t="s">
        <v>5073</v>
      </c>
      <c r="E1124" t="s">
        <v>444</v>
      </c>
      <c r="H1124" t="s">
        <v>197</v>
      </c>
      <c r="I1124" t="s">
        <v>5074</v>
      </c>
    </row>
    <row r="1125" spans="1:9" x14ac:dyDescent="0.35">
      <c r="A1125" t="s">
        <v>5076</v>
      </c>
      <c r="B1125" t="str">
        <f>"9781618114532"</f>
        <v>9781618114532</v>
      </c>
      <c r="C1125" t="s">
        <v>5082</v>
      </c>
      <c r="D1125" t="s">
        <v>5079</v>
      </c>
      <c r="E1125" t="s">
        <v>5077</v>
      </c>
      <c r="F1125" t="s">
        <v>5078</v>
      </c>
      <c r="H1125" t="s">
        <v>5080</v>
      </c>
      <c r="I1125" t="s">
        <v>5081</v>
      </c>
    </row>
    <row r="1126" spans="1:9" x14ac:dyDescent="0.35">
      <c r="A1126" t="s">
        <v>5083</v>
      </c>
      <c r="B1126" t="str">
        <f>"9781589837775"</f>
        <v>9781589837775</v>
      </c>
      <c r="C1126" t="s">
        <v>5087</v>
      </c>
      <c r="D1126" t="s">
        <v>5085</v>
      </c>
      <c r="E1126" t="s">
        <v>4308</v>
      </c>
      <c r="F1126" t="s">
        <v>5084</v>
      </c>
      <c r="H1126" t="s">
        <v>163</v>
      </c>
      <c r="I1126" t="s">
        <v>5086</v>
      </c>
    </row>
    <row r="1127" spans="1:9" x14ac:dyDescent="0.35">
      <c r="A1127" t="s">
        <v>5088</v>
      </c>
      <c r="B1127" t="str">
        <f>"9781626373105"</f>
        <v>9781626373105</v>
      </c>
      <c r="C1127" t="s">
        <v>5090</v>
      </c>
      <c r="D1127" t="s">
        <v>5089</v>
      </c>
      <c r="E1127" t="s">
        <v>4545</v>
      </c>
      <c r="H1127" t="s">
        <v>22</v>
      </c>
      <c r="I1127" t="s">
        <v>3216</v>
      </c>
    </row>
    <row r="1128" spans="1:9" x14ac:dyDescent="0.35">
      <c r="A1128" t="s">
        <v>5091</v>
      </c>
      <c r="B1128" t="str">
        <f>"9780773597761"</f>
        <v>9780773597761</v>
      </c>
      <c r="C1128" t="s">
        <v>5094</v>
      </c>
      <c r="D1128" t="s">
        <v>5092</v>
      </c>
      <c r="E1128" t="s">
        <v>4554</v>
      </c>
      <c r="H1128" t="s">
        <v>147</v>
      </c>
      <c r="I1128" t="s">
        <v>5093</v>
      </c>
    </row>
    <row r="1129" spans="1:9" x14ac:dyDescent="0.35">
      <c r="A1129" t="s">
        <v>5095</v>
      </c>
      <c r="B1129" t="str">
        <f>"9780309114646"</f>
        <v>9780309114646</v>
      </c>
      <c r="C1129" t="s">
        <v>5099</v>
      </c>
      <c r="D1129" t="s">
        <v>5096</v>
      </c>
      <c r="E1129" t="s">
        <v>4619</v>
      </c>
      <c r="H1129" t="s">
        <v>5097</v>
      </c>
      <c r="I1129" t="s">
        <v>5098</v>
      </c>
    </row>
    <row r="1130" spans="1:9" x14ac:dyDescent="0.35">
      <c r="A1130" t="s">
        <v>5100</v>
      </c>
      <c r="B1130" t="str">
        <f>"9780826265807"</f>
        <v>9780826265807</v>
      </c>
      <c r="C1130" t="s">
        <v>5104</v>
      </c>
      <c r="D1130" t="s">
        <v>5102</v>
      </c>
      <c r="E1130" t="s">
        <v>5101</v>
      </c>
      <c r="H1130" t="s">
        <v>163</v>
      </c>
      <c r="I1130" t="s">
        <v>5103</v>
      </c>
    </row>
    <row r="1131" spans="1:9" x14ac:dyDescent="0.35">
      <c r="A1131" t="s">
        <v>5105</v>
      </c>
      <c r="B1131" t="str">
        <f>"9780826266545"</f>
        <v>9780826266545</v>
      </c>
      <c r="C1131" t="s">
        <v>5108</v>
      </c>
      <c r="D1131" t="s">
        <v>5106</v>
      </c>
      <c r="E1131" t="s">
        <v>5101</v>
      </c>
      <c r="H1131" t="s">
        <v>22</v>
      </c>
      <c r="I1131" t="s">
        <v>5107</v>
      </c>
    </row>
    <row r="1132" spans="1:9" x14ac:dyDescent="0.35">
      <c r="A1132" t="s">
        <v>5109</v>
      </c>
      <c r="B1132" t="str">
        <f>"9781742247434"</f>
        <v>9781742247434</v>
      </c>
      <c r="C1132" t="s">
        <v>5113</v>
      </c>
      <c r="D1132" t="s">
        <v>5111</v>
      </c>
      <c r="E1132" t="s">
        <v>5110</v>
      </c>
      <c r="H1132" t="s">
        <v>22</v>
      </c>
      <c r="I1132" t="s">
        <v>5112</v>
      </c>
    </row>
    <row r="1133" spans="1:9" x14ac:dyDescent="0.35">
      <c r="A1133" t="s">
        <v>5114</v>
      </c>
      <c r="B1133" t="str">
        <f>"9780812201772"</f>
        <v>9780812201772</v>
      </c>
      <c r="C1133" t="s">
        <v>5118</v>
      </c>
      <c r="D1133" t="s">
        <v>5116</v>
      </c>
      <c r="E1133" t="s">
        <v>5115</v>
      </c>
      <c r="H1133" t="s">
        <v>22</v>
      </c>
      <c r="I1133" t="s">
        <v>5117</v>
      </c>
    </row>
    <row r="1134" spans="1:9" x14ac:dyDescent="0.35">
      <c r="A1134" t="s">
        <v>5119</v>
      </c>
      <c r="B1134" t="str">
        <f>"9780812200645"</f>
        <v>9780812200645</v>
      </c>
      <c r="C1134" t="s">
        <v>5122</v>
      </c>
      <c r="D1134" t="s">
        <v>5120</v>
      </c>
      <c r="E1134" t="s">
        <v>5115</v>
      </c>
      <c r="H1134" t="s">
        <v>22</v>
      </c>
      <c r="I1134" t="s">
        <v>5121</v>
      </c>
    </row>
    <row r="1135" spans="1:9" x14ac:dyDescent="0.35">
      <c r="A1135" t="s">
        <v>5123</v>
      </c>
      <c r="B1135" t="str">
        <f>"9780812204070"</f>
        <v>9780812204070</v>
      </c>
      <c r="C1135" t="s">
        <v>5126</v>
      </c>
      <c r="D1135" t="s">
        <v>5124</v>
      </c>
      <c r="E1135" t="s">
        <v>5115</v>
      </c>
      <c r="H1135" t="s">
        <v>531</v>
      </c>
      <c r="I1135" t="s">
        <v>5125</v>
      </c>
    </row>
    <row r="1136" spans="1:9" x14ac:dyDescent="0.35">
      <c r="A1136" t="s">
        <v>5127</v>
      </c>
      <c r="B1136" t="str">
        <f>"9780812206951"</f>
        <v>9780812206951</v>
      </c>
      <c r="C1136" t="s">
        <v>5131</v>
      </c>
      <c r="D1136" t="s">
        <v>5129</v>
      </c>
      <c r="E1136" t="s">
        <v>5115</v>
      </c>
      <c r="F1136" t="s">
        <v>5128</v>
      </c>
      <c r="H1136" t="s">
        <v>153</v>
      </c>
      <c r="I1136" t="s">
        <v>5130</v>
      </c>
    </row>
    <row r="1137" spans="1:9" x14ac:dyDescent="0.35">
      <c r="A1137" t="s">
        <v>5132</v>
      </c>
      <c r="B1137" t="str">
        <f>"9780812202250"</f>
        <v>9780812202250</v>
      </c>
      <c r="C1137" t="s">
        <v>5136</v>
      </c>
      <c r="D1137" t="s">
        <v>5134</v>
      </c>
      <c r="E1137" t="s">
        <v>5115</v>
      </c>
      <c r="F1137" t="s">
        <v>5133</v>
      </c>
      <c r="H1137" t="s">
        <v>64</v>
      </c>
      <c r="I1137" t="s">
        <v>5135</v>
      </c>
    </row>
    <row r="1138" spans="1:9" x14ac:dyDescent="0.35">
      <c r="A1138" t="s">
        <v>5137</v>
      </c>
      <c r="B1138" t="str">
        <f>"9780812204650"</f>
        <v>9780812204650</v>
      </c>
      <c r="C1138" t="s">
        <v>5141</v>
      </c>
      <c r="D1138" t="s">
        <v>5139</v>
      </c>
      <c r="E1138" t="s">
        <v>5115</v>
      </c>
      <c r="F1138" t="s">
        <v>5138</v>
      </c>
      <c r="H1138" t="s">
        <v>147</v>
      </c>
      <c r="I1138" t="s">
        <v>5140</v>
      </c>
    </row>
    <row r="1139" spans="1:9" x14ac:dyDescent="0.35">
      <c r="A1139" t="s">
        <v>5142</v>
      </c>
      <c r="B1139" t="str">
        <f>"9780812207316"</f>
        <v>9780812207316</v>
      </c>
      <c r="C1139" t="s">
        <v>5145</v>
      </c>
      <c r="D1139" t="s">
        <v>5143</v>
      </c>
      <c r="E1139" t="s">
        <v>5115</v>
      </c>
      <c r="H1139" t="s">
        <v>22</v>
      </c>
      <c r="I1139" t="s">
        <v>5144</v>
      </c>
    </row>
    <row r="1140" spans="1:9" x14ac:dyDescent="0.35">
      <c r="A1140" t="s">
        <v>5146</v>
      </c>
      <c r="B1140" t="str">
        <f>"9780812205923"</f>
        <v>9780812205923</v>
      </c>
      <c r="C1140" t="s">
        <v>5150</v>
      </c>
      <c r="D1140" t="s">
        <v>5148</v>
      </c>
      <c r="E1140" t="s">
        <v>5115</v>
      </c>
      <c r="F1140" t="s">
        <v>5147</v>
      </c>
      <c r="H1140" t="s">
        <v>397</v>
      </c>
      <c r="I1140" t="s">
        <v>5149</v>
      </c>
    </row>
    <row r="1141" spans="1:9" x14ac:dyDescent="0.35">
      <c r="A1141" t="s">
        <v>5151</v>
      </c>
      <c r="B1141" t="str">
        <f>"9780812206418"</f>
        <v>9780812206418</v>
      </c>
      <c r="C1141" t="s">
        <v>5155</v>
      </c>
      <c r="D1141" t="s">
        <v>5153</v>
      </c>
      <c r="E1141" t="s">
        <v>5115</v>
      </c>
      <c r="F1141" t="s">
        <v>5152</v>
      </c>
      <c r="H1141" t="s">
        <v>22</v>
      </c>
      <c r="I1141" t="s">
        <v>5154</v>
      </c>
    </row>
    <row r="1142" spans="1:9" x14ac:dyDescent="0.35">
      <c r="A1142" t="s">
        <v>5156</v>
      </c>
      <c r="B1142" t="str">
        <f>"9780812202649"</f>
        <v>9780812202649</v>
      </c>
      <c r="C1142" t="s">
        <v>5160</v>
      </c>
      <c r="D1142" t="s">
        <v>5158</v>
      </c>
      <c r="E1142" t="s">
        <v>5115</v>
      </c>
      <c r="F1142" t="s">
        <v>5157</v>
      </c>
      <c r="H1142" t="s">
        <v>38</v>
      </c>
      <c r="I1142" t="s">
        <v>5159</v>
      </c>
    </row>
    <row r="1143" spans="1:9" x14ac:dyDescent="0.35">
      <c r="A1143" t="s">
        <v>5161</v>
      </c>
      <c r="B1143" t="str">
        <f>"9780812203974"</f>
        <v>9780812203974</v>
      </c>
      <c r="C1143" t="s">
        <v>5164</v>
      </c>
      <c r="D1143" t="s">
        <v>5162</v>
      </c>
      <c r="E1143" t="s">
        <v>5115</v>
      </c>
      <c r="F1143" t="s">
        <v>5152</v>
      </c>
      <c r="H1143" t="s">
        <v>22</v>
      </c>
      <c r="I1143" t="s">
        <v>5163</v>
      </c>
    </row>
    <row r="1144" spans="1:9" x14ac:dyDescent="0.35">
      <c r="A1144" t="s">
        <v>5165</v>
      </c>
      <c r="B1144" t="str">
        <f>"9780812204490"</f>
        <v>9780812204490</v>
      </c>
      <c r="C1144" t="s">
        <v>5168</v>
      </c>
      <c r="D1144" t="s">
        <v>5166</v>
      </c>
      <c r="E1144" t="s">
        <v>5115</v>
      </c>
      <c r="F1144" t="s">
        <v>5152</v>
      </c>
      <c r="H1144" t="s">
        <v>163</v>
      </c>
      <c r="I1144" t="s">
        <v>5167</v>
      </c>
    </row>
    <row r="1145" spans="1:9" x14ac:dyDescent="0.35">
      <c r="A1145" t="s">
        <v>5169</v>
      </c>
      <c r="B1145" t="str">
        <f>"9780812203677"</f>
        <v>9780812203677</v>
      </c>
      <c r="C1145" t="s">
        <v>5172</v>
      </c>
      <c r="D1145" t="s">
        <v>5170</v>
      </c>
      <c r="E1145" t="s">
        <v>5115</v>
      </c>
      <c r="H1145" t="s">
        <v>153</v>
      </c>
      <c r="I1145" t="s">
        <v>5171</v>
      </c>
    </row>
    <row r="1146" spans="1:9" x14ac:dyDescent="0.35">
      <c r="A1146" t="s">
        <v>5173</v>
      </c>
      <c r="B1146" t="str">
        <f>"9780812201086"</f>
        <v>9780812201086</v>
      </c>
      <c r="C1146" t="s">
        <v>5176</v>
      </c>
      <c r="D1146" t="s">
        <v>5174</v>
      </c>
      <c r="E1146" t="s">
        <v>5115</v>
      </c>
      <c r="F1146" t="s">
        <v>5152</v>
      </c>
      <c r="H1146" t="s">
        <v>147</v>
      </c>
      <c r="I1146" t="s">
        <v>5175</v>
      </c>
    </row>
    <row r="1147" spans="1:9" x14ac:dyDescent="0.35">
      <c r="A1147" t="s">
        <v>5177</v>
      </c>
      <c r="B1147" t="str">
        <f>"9780812201963"</f>
        <v>9780812201963</v>
      </c>
      <c r="C1147" t="s">
        <v>5180</v>
      </c>
      <c r="D1147" t="s">
        <v>5178</v>
      </c>
      <c r="E1147" t="s">
        <v>5115</v>
      </c>
      <c r="F1147" t="s">
        <v>5152</v>
      </c>
      <c r="H1147" t="s">
        <v>163</v>
      </c>
      <c r="I1147" t="s">
        <v>5179</v>
      </c>
    </row>
    <row r="1148" spans="1:9" x14ac:dyDescent="0.35">
      <c r="A1148" t="s">
        <v>5181</v>
      </c>
      <c r="B1148" t="str">
        <f>"9780812208580"</f>
        <v>9780812208580</v>
      </c>
      <c r="C1148" t="s">
        <v>5184</v>
      </c>
      <c r="D1148" t="s">
        <v>5182</v>
      </c>
      <c r="E1148" t="s">
        <v>5115</v>
      </c>
      <c r="F1148" t="s">
        <v>5152</v>
      </c>
      <c r="H1148" t="s">
        <v>22</v>
      </c>
      <c r="I1148" t="s">
        <v>5183</v>
      </c>
    </row>
    <row r="1149" spans="1:9" x14ac:dyDescent="0.35">
      <c r="A1149" t="s">
        <v>5185</v>
      </c>
      <c r="B1149" t="str">
        <f>"9780812208771"</f>
        <v>9780812208771</v>
      </c>
      <c r="C1149" t="s">
        <v>5188</v>
      </c>
      <c r="D1149" t="s">
        <v>5186</v>
      </c>
      <c r="E1149" t="s">
        <v>5115</v>
      </c>
      <c r="H1149" t="s">
        <v>64</v>
      </c>
      <c r="I1149" t="s">
        <v>5187</v>
      </c>
    </row>
    <row r="1150" spans="1:9" x14ac:dyDescent="0.35">
      <c r="A1150" t="s">
        <v>5189</v>
      </c>
      <c r="B1150" t="str">
        <f>"9780812204292"</f>
        <v>9780812204292</v>
      </c>
      <c r="C1150" t="s">
        <v>5192</v>
      </c>
      <c r="D1150" t="s">
        <v>5190</v>
      </c>
      <c r="E1150" t="s">
        <v>5115</v>
      </c>
      <c r="F1150" t="s">
        <v>5152</v>
      </c>
      <c r="H1150" t="s">
        <v>470</v>
      </c>
      <c r="I1150" t="s">
        <v>5191</v>
      </c>
    </row>
    <row r="1151" spans="1:9" x14ac:dyDescent="0.35">
      <c r="A1151" t="s">
        <v>5193</v>
      </c>
      <c r="B1151" t="str">
        <f>"9780812290363"</f>
        <v>9780812290363</v>
      </c>
      <c r="C1151" t="s">
        <v>5196</v>
      </c>
      <c r="D1151" t="s">
        <v>5194</v>
      </c>
      <c r="E1151" t="s">
        <v>5115</v>
      </c>
      <c r="H1151" t="s">
        <v>22</v>
      </c>
      <c r="I1151" t="s">
        <v>5195</v>
      </c>
    </row>
    <row r="1152" spans="1:9" x14ac:dyDescent="0.35">
      <c r="A1152" t="s">
        <v>5197</v>
      </c>
      <c r="B1152" t="str">
        <f>"9780812291681"</f>
        <v>9780812291681</v>
      </c>
      <c r="C1152" t="s">
        <v>5200</v>
      </c>
      <c r="D1152" t="s">
        <v>5198</v>
      </c>
      <c r="E1152" t="s">
        <v>5115</v>
      </c>
      <c r="F1152" t="s">
        <v>5157</v>
      </c>
      <c r="H1152" t="s">
        <v>163</v>
      </c>
      <c r="I1152" t="s">
        <v>5199</v>
      </c>
    </row>
    <row r="1153" spans="1:9" x14ac:dyDescent="0.35">
      <c r="A1153" t="s">
        <v>5201</v>
      </c>
      <c r="B1153" t="str">
        <f>"9780874217025"</f>
        <v>9780874217025</v>
      </c>
      <c r="C1153" t="s">
        <v>5205</v>
      </c>
      <c r="D1153" t="s">
        <v>5203</v>
      </c>
      <c r="E1153" t="s">
        <v>5202</v>
      </c>
      <c r="H1153" t="s">
        <v>2300</v>
      </c>
      <c r="I1153" t="s">
        <v>5204</v>
      </c>
    </row>
    <row r="1154" spans="1:9" x14ac:dyDescent="0.35">
      <c r="A1154" t="s">
        <v>5206</v>
      </c>
      <c r="B1154" t="str">
        <f>"9780874218985"</f>
        <v>9780874218985</v>
      </c>
      <c r="C1154" t="s">
        <v>5209</v>
      </c>
      <c r="D1154" t="s">
        <v>5207</v>
      </c>
      <c r="E1154" t="s">
        <v>5202</v>
      </c>
      <c r="H1154" t="s">
        <v>22</v>
      </c>
      <c r="I1154" t="s">
        <v>5208</v>
      </c>
    </row>
    <row r="1155" spans="1:9" x14ac:dyDescent="0.35">
      <c r="A1155" t="s">
        <v>5210</v>
      </c>
      <c r="B1155" t="str">
        <f>"9780292796256"</f>
        <v>9780292796256</v>
      </c>
      <c r="C1155" t="s">
        <v>5214</v>
      </c>
      <c r="D1155" t="s">
        <v>5212</v>
      </c>
      <c r="E1155" t="s">
        <v>5211</v>
      </c>
      <c r="H1155" t="s">
        <v>147</v>
      </c>
      <c r="I1155" t="s">
        <v>5213</v>
      </c>
    </row>
    <row r="1156" spans="1:9" x14ac:dyDescent="0.35">
      <c r="A1156" t="s">
        <v>5215</v>
      </c>
      <c r="B1156" t="str">
        <f>"9780292796249"</f>
        <v>9780292796249</v>
      </c>
      <c r="C1156" t="s">
        <v>5218</v>
      </c>
      <c r="D1156" t="s">
        <v>5216</v>
      </c>
      <c r="E1156" t="s">
        <v>5211</v>
      </c>
      <c r="H1156" t="s">
        <v>22</v>
      </c>
      <c r="I1156" t="s">
        <v>5217</v>
      </c>
    </row>
    <row r="1157" spans="1:9" x14ac:dyDescent="0.35">
      <c r="A1157" t="s">
        <v>5219</v>
      </c>
      <c r="B1157" t="str">
        <f>"9780292798694"</f>
        <v>9780292798694</v>
      </c>
      <c r="C1157" t="s">
        <v>5222</v>
      </c>
      <c r="D1157" t="s">
        <v>5220</v>
      </c>
      <c r="E1157" t="s">
        <v>5211</v>
      </c>
      <c r="H1157" t="s">
        <v>86</v>
      </c>
      <c r="I1157" t="s">
        <v>5221</v>
      </c>
    </row>
    <row r="1158" spans="1:9" x14ac:dyDescent="0.35">
      <c r="A1158" t="s">
        <v>5223</v>
      </c>
      <c r="B1158" t="str">
        <f>"9780292798618"</f>
        <v>9780292798618</v>
      </c>
      <c r="C1158" t="s">
        <v>5226</v>
      </c>
      <c r="D1158" t="s">
        <v>5224</v>
      </c>
      <c r="E1158" t="s">
        <v>5211</v>
      </c>
      <c r="H1158" t="s">
        <v>22</v>
      </c>
      <c r="I1158" t="s">
        <v>5225</v>
      </c>
    </row>
    <row r="1159" spans="1:9" x14ac:dyDescent="0.35">
      <c r="A1159" t="s">
        <v>5227</v>
      </c>
      <c r="B1159" t="str">
        <f>"9780292796805"</f>
        <v>9780292796805</v>
      </c>
      <c r="C1159" t="s">
        <v>5230</v>
      </c>
      <c r="D1159" t="s">
        <v>5228</v>
      </c>
      <c r="E1159" t="s">
        <v>5211</v>
      </c>
      <c r="H1159" t="s">
        <v>147</v>
      </c>
      <c r="I1159" t="s">
        <v>5229</v>
      </c>
    </row>
    <row r="1160" spans="1:9" x14ac:dyDescent="0.35">
      <c r="A1160" t="s">
        <v>5231</v>
      </c>
      <c r="B1160" t="str">
        <f>"9780292794702"</f>
        <v>9780292794702</v>
      </c>
      <c r="C1160" t="s">
        <v>5234</v>
      </c>
      <c r="D1160" t="s">
        <v>5232</v>
      </c>
      <c r="E1160" t="s">
        <v>5211</v>
      </c>
      <c r="H1160" t="s">
        <v>86</v>
      </c>
      <c r="I1160" t="s">
        <v>5233</v>
      </c>
    </row>
    <row r="1161" spans="1:9" x14ac:dyDescent="0.35">
      <c r="A1161" t="s">
        <v>5235</v>
      </c>
      <c r="B1161" t="str">
        <f>"9780292793767"</f>
        <v>9780292793767</v>
      </c>
      <c r="C1161" t="s">
        <v>5238</v>
      </c>
      <c r="D1161" t="s">
        <v>5236</v>
      </c>
      <c r="E1161" t="s">
        <v>5211</v>
      </c>
      <c r="H1161" t="s">
        <v>22</v>
      </c>
      <c r="I1161" t="s">
        <v>5237</v>
      </c>
    </row>
    <row r="1162" spans="1:9" x14ac:dyDescent="0.35">
      <c r="A1162" t="s">
        <v>5239</v>
      </c>
      <c r="B1162" t="str">
        <f>"9780292793606"</f>
        <v>9780292793606</v>
      </c>
      <c r="C1162" t="s">
        <v>5242</v>
      </c>
      <c r="D1162" t="s">
        <v>5240</v>
      </c>
      <c r="E1162" t="s">
        <v>5211</v>
      </c>
      <c r="H1162" t="s">
        <v>147</v>
      </c>
      <c r="I1162" t="s">
        <v>5241</v>
      </c>
    </row>
    <row r="1163" spans="1:9" x14ac:dyDescent="0.35">
      <c r="A1163" t="s">
        <v>5243</v>
      </c>
      <c r="B1163" t="str">
        <f>"9780292793507"</f>
        <v>9780292793507</v>
      </c>
      <c r="C1163" t="s">
        <v>5245</v>
      </c>
      <c r="D1163" t="s">
        <v>262</v>
      </c>
      <c r="E1163" t="s">
        <v>5211</v>
      </c>
      <c r="H1163" t="s">
        <v>86</v>
      </c>
      <c r="I1163" t="s">
        <v>5244</v>
      </c>
    </row>
    <row r="1164" spans="1:9" x14ac:dyDescent="0.35">
      <c r="A1164" t="s">
        <v>5246</v>
      </c>
      <c r="B1164" t="str">
        <f>"9780292792814"</f>
        <v>9780292792814</v>
      </c>
      <c r="C1164" t="s">
        <v>5249</v>
      </c>
      <c r="D1164" t="s">
        <v>5247</v>
      </c>
      <c r="E1164" t="s">
        <v>5211</v>
      </c>
      <c r="H1164" t="s">
        <v>147</v>
      </c>
      <c r="I1164" t="s">
        <v>5248</v>
      </c>
    </row>
    <row r="1165" spans="1:9" x14ac:dyDescent="0.35">
      <c r="A1165" t="s">
        <v>5250</v>
      </c>
      <c r="B1165" t="str">
        <f>"9780292793002"</f>
        <v>9780292793002</v>
      </c>
      <c r="C1165" t="s">
        <v>5254</v>
      </c>
      <c r="D1165" t="s">
        <v>5251</v>
      </c>
      <c r="E1165" t="s">
        <v>5211</v>
      </c>
      <c r="H1165" t="s">
        <v>5252</v>
      </c>
      <c r="I1165" t="s">
        <v>5253</v>
      </c>
    </row>
    <row r="1166" spans="1:9" x14ac:dyDescent="0.35">
      <c r="A1166" t="s">
        <v>5255</v>
      </c>
      <c r="B1166" t="str">
        <f>"9780292735750"</f>
        <v>9780292735750</v>
      </c>
      <c r="C1166" t="s">
        <v>5258</v>
      </c>
      <c r="D1166" t="s">
        <v>5256</v>
      </c>
      <c r="E1166" t="s">
        <v>5211</v>
      </c>
      <c r="H1166" t="s">
        <v>86</v>
      </c>
      <c r="I1166" t="s">
        <v>5257</v>
      </c>
    </row>
    <row r="1167" spans="1:9" x14ac:dyDescent="0.35">
      <c r="A1167" t="s">
        <v>5259</v>
      </c>
      <c r="B1167" t="str">
        <f>"9780292735545"</f>
        <v>9780292735545</v>
      </c>
      <c r="C1167" t="s">
        <v>5262</v>
      </c>
      <c r="D1167" t="s">
        <v>5260</v>
      </c>
      <c r="E1167" t="s">
        <v>5211</v>
      </c>
      <c r="H1167" t="s">
        <v>22</v>
      </c>
      <c r="I1167" t="s">
        <v>5261</v>
      </c>
    </row>
    <row r="1168" spans="1:9" x14ac:dyDescent="0.35">
      <c r="A1168" t="s">
        <v>5263</v>
      </c>
      <c r="B1168" t="str">
        <f>"9780292739390"</f>
        <v>9780292739390</v>
      </c>
      <c r="C1168" t="s">
        <v>5266</v>
      </c>
      <c r="D1168" t="s">
        <v>5264</v>
      </c>
      <c r="E1168" t="s">
        <v>5211</v>
      </c>
      <c r="H1168" t="s">
        <v>147</v>
      </c>
      <c r="I1168" t="s">
        <v>5265</v>
      </c>
    </row>
    <row r="1169" spans="1:9" x14ac:dyDescent="0.35">
      <c r="A1169" t="s">
        <v>5267</v>
      </c>
      <c r="B1169" t="str">
        <f>"9780292742031"</f>
        <v>9780292742031</v>
      </c>
      <c r="C1169" t="s">
        <v>5269</v>
      </c>
      <c r="D1169" t="s">
        <v>262</v>
      </c>
      <c r="E1169" t="s">
        <v>5211</v>
      </c>
      <c r="H1169" t="s">
        <v>86</v>
      </c>
      <c r="I1169" t="s">
        <v>5268</v>
      </c>
    </row>
    <row r="1170" spans="1:9" x14ac:dyDescent="0.35">
      <c r="A1170" t="s">
        <v>5270</v>
      </c>
      <c r="B1170" t="str">
        <f>"9780292738935"</f>
        <v>9780292738935</v>
      </c>
      <c r="C1170" t="s">
        <v>5274</v>
      </c>
      <c r="D1170" t="s">
        <v>5272</v>
      </c>
      <c r="E1170" t="s">
        <v>5211</v>
      </c>
      <c r="F1170" t="s">
        <v>5271</v>
      </c>
      <c r="H1170" t="s">
        <v>147</v>
      </c>
      <c r="I1170" t="s">
        <v>5273</v>
      </c>
    </row>
    <row r="1171" spans="1:9" x14ac:dyDescent="0.35">
      <c r="A1171" t="s">
        <v>5275</v>
      </c>
      <c r="B1171" t="str">
        <f>"9780292743779"</f>
        <v>9780292743779</v>
      </c>
      <c r="C1171" t="s">
        <v>5278</v>
      </c>
      <c r="D1171" t="s">
        <v>5276</v>
      </c>
      <c r="E1171" t="s">
        <v>5211</v>
      </c>
      <c r="H1171" t="s">
        <v>86</v>
      </c>
      <c r="I1171" t="s">
        <v>5277</v>
      </c>
    </row>
    <row r="1172" spans="1:9" x14ac:dyDescent="0.35">
      <c r="A1172" t="s">
        <v>5279</v>
      </c>
      <c r="B1172" t="str">
        <f>"9780292745599"</f>
        <v>9780292745599</v>
      </c>
      <c r="C1172" t="s">
        <v>5282</v>
      </c>
      <c r="D1172" t="s">
        <v>5280</v>
      </c>
      <c r="E1172" t="s">
        <v>5211</v>
      </c>
      <c r="H1172" t="s">
        <v>22</v>
      </c>
      <c r="I1172" t="s">
        <v>5281</v>
      </c>
    </row>
    <row r="1173" spans="1:9" x14ac:dyDescent="0.35">
      <c r="A1173" t="s">
        <v>5283</v>
      </c>
      <c r="B1173" t="str">
        <f>"9780292747470"</f>
        <v>9780292747470</v>
      </c>
      <c r="C1173" t="s">
        <v>5286</v>
      </c>
      <c r="D1173" t="s">
        <v>5284</v>
      </c>
      <c r="E1173" t="s">
        <v>5211</v>
      </c>
      <c r="H1173" t="s">
        <v>86</v>
      </c>
      <c r="I1173" t="s">
        <v>5285</v>
      </c>
    </row>
    <row r="1174" spans="1:9" x14ac:dyDescent="0.35">
      <c r="A1174" t="s">
        <v>5287</v>
      </c>
      <c r="B1174" t="str">
        <f>"9781477302330"</f>
        <v>9781477302330</v>
      </c>
      <c r="C1174" t="s">
        <v>5290</v>
      </c>
      <c r="D1174" t="s">
        <v>5288</v>
      </c>
      <c r="E1174" t="s">
        <v>5211</v>
      </c>
      <c r="H1174" t="s">
        <v>22</v>
      </c>
      <c r="I1174" t="s">
        <v>5289</v>
      </c>
    </row>
    <row r="1175" spans="1:9" x14ac:dyDescent="0.35">
      <c r="A1175" t="s">
        <v>5291</v>
      </c>
      <c r="B1175" t="str">
        <f>"9781477305546"</f>
        <v>9781477305546</v>
      </c>
      <c r="C1175" t="s">
        <v>5294</v>
      </c>
      <c r="D1175" t="s">
        <v>5292</v>
      </c>
      <c r="E1175" t="s">
        <v>5211</v>
      </c>
      <c r="H1175" t="s">
        <v>22</v>
      </c>
      <c r="I1175" t="s">
        <v>5293</v>
      </c>
    </row>
    <row r="1176" spans="1:9" x14ac:dyDescent="0.35">
      <c r="A1176" t="s">
        <v>5295</v>
      </c>
      <c r="B1176" t="str">
        <f>"9780813931326"</f>
        <v>9780813931326</v>
      </c>
      <c r="C1176" t="s">
        <v>5299</v>
      </c>
      <c r="D1176" t="s">
        <v>5297</v>
      </c>
      <c r="E1176" t="s">
        <v>4394</v>
      </c>
      <c r="F1176" t="s">
        <v>5296</v>
      </c>
      <c r="H1176" t="s">
        <v>147</v>
      </c>
      <c r="I1176" t="s">
        <v>5298</v>
      </c>
    </row>
    <row r="1177" spans="1:9" x14ac:dyDescent="0.35">
      <c r="A1177" t="s">
        <v>5300</v>
      </c>
      <c r="B1177" t="str">
        <f>"9780813929842"</f>
        <v>9780813929842</v>
      </c>
      <c r="C1177" t="s">
        <v>5303</v>
      </c>
      <c r="D1177" t="s">
        <v>5301</v>
      </c>
      <c r="E1177" t="s">
        <v>4394</v>
      </c>
      <c r="H1177" t="s">
        <v>147</v>
      </c>
      <c r="I1177" t="s">
        <v>5302</v>
      </c>
    </row>
    <row r="1178" spans="1:9" x14ac:dyDescent="0.35">
      <c r="A1178" t="s">
        <v>5304</v>
      </c>
      <c r="B1178" t="str">
        <f>"9780813932422"</f>
        <v>9780813932422</v>
      </c>
      <c r="C1178" t="s">
        <v>5308</v>
      </c>
      <c r="D1178" t="s">
        <v>5306</v>
      </c>
      <c r="E1178" t="s">
        <v>4394</v>
      </c>
      <c r="F1178" t="s">
        <v>5305</v>
      </c>
      <c r="H1178" t="s">
        <v>58</v>
      </c>
      <c r="I1178" t="s">
        <v>5307</v>
      </c>
    </row>
    <row r="1179" spans="1:9" x14ac:dyDescent="0.35">
      <c r="A1179" t="s">
        <v>5309</v>
      </c>
      <c r="B1179" t="str">
        <f>"9780813933832"</f>
        <v>9780813933832</v>
      </c>
      <c r="C1179" t="s">
        <v>5312</v>
      </c>
      <c r="D1179" t="s">
        <v>5310</v>
      </c>
      <c r="E1179" t="s">
        <v>4394</v>
      </c>
      <c r="H1179" t="s">
        <v>147</v>
      </c>
      <c r="I1179" t="s">
        <v>5311</v>
      </c>
    </row>
    <row r="1180" spans="1:9" x14ac:dyDescent="0.35">
      <c r="A1180" t="s">
        <v>5313</v>
      </c>
      <c r="B1180" t="str">
        <f>"9780813935249"</f>
        <v>9780813935249</v>
      </c>
      <c r="C1180" t="s">
        <v>5316</v>
      </c>
      <c r="D1180" t="s">
        <v>5314</v>
      </c>
      <c r="E1180" t="s">
        <v>4394</v>
      </c>
      <c r="F1180" t="s">
        <v>5296</v>
      </c>
      <c r="H1180" t="s">
        <v>147</v>
      </c>
      <c r="I1180" t="s">
        <v>5315</v>
      </c>
    </row>
    <row r="1181" spans="1:9" x14ac:dyDescent="0.35">
      <c r="A1181" t="s">
        <v>5317</v>
      </c>
      <c r="B1181" t="str">
        <f>"9780295989211"</f>
        <v>9780295989211</v>
      </c>
      <c r="C1181" t="s">
        <v>5322</v>
      </c>
      <c r="D1181" t="s">
        <v>5320</v>
      </c>
      <c r="E1181" t="s">
        <v>5318</v>
      </c>
      <c r="F1181" t="s">
        <v>5319</v>
      </c>
      <c r="H1181" t="s">
        <v>22</v>
      </c>
      <c r="I1181" t="s">
        <v>5321</v>
      </c>
    </row>
    <row r="1182" spans="1:9" x14ac:dyDescent="0.35">
      <c r="A1182" t="s">
        <v>5323</v>
      </c>
      <c r="B1182" t="str">
        <f>"9780295801643"</f>
        <v>9780295801643</v>
      </c>
      <c r="C1182" t="s">
        <v>5327</v>
      </c>
      <c r="D1182" t="s">
        <v>5325</v>
      </c>
      <c r="E1182" t="s">
        <v>5318</v>
      </c>
      <c r="F1182" t="s">
        <v>5324</v>
      </c>
      <c r="H1182" t="s">
        <v>147</v>
      </c>
      <c r="I1182" t="s">
        <v>5326</v>
      </c>
    </row>
    <row r="1183" spans="1:9" x14ac:dyDescent="0.35">
      <c r="A1183" t="s">
        <v>5328</v>
      </c>
      <c r="B1183" t="str">
        <f>"9780295801742"</f>
        <v>9780295801742</v>
      </c>
      <c r="C1183" t="s">
        <v>5331</v>
      </c>
      <c r="D1183" t="s">
        <v>5329</v>
      </c>
      <c r="E1183" t="s">
        <v>5318</v>
      </c>
      <c r="F1183" t="s">
        <v>5324</v>
      </c>
      <c r="H1183" t="s">
        <v>147</v>
      </c>
      <c r="I1183" t="s">
        <v>5330</v>
      </c>
    </row>
    <row r="1184" spans="1:9" x14ac:dyDescent="0.35">
      <c r="A1184" t="s">
        <v>5332</v>
      </c>
      <c r="B1184" t="str">
        <f>"9780295805658"</f>
        <v>9780295805658</v>
      </c>
      <c r="C1184" t="s">
        <v>5335</v>
      </c>
      <c r="D1184" t="s">
        <v>5333</v>
      </c>
      <c r="E1184" t="s">
        <v>5318</v>
      </c>
      <c r="H1184" t="s">
        <v>75</v>
      </c>
      <c r="I1184" t="s">
        <v>5334</v>
      </c>
    </row>
    <row r="1185" spans="1:9" x14ac:dyDescent="0.35">
      <c r="A1185" t="s">
        <v>5336</v>
      </c>
      <c r="B1185" t="str">
        <f>"9780299216931"</f>
        <v>9780299216931</v>
      </c>
      <c r="C1185" t="s">
        <v>5341</v>
      </c>
      <c r="D1185" t="s">
        <v>5339</v>
      </c>
      <c r="E1185" t="s">
        <v>5337</v>
      </c>
      <c r="F1185" t="s">
        <v>5338</v>
      </c>
      <c r="H1185" t="s">
        <v>22</v>
      </c>
      <c r="I1185" t="s">
        <v>5340</v>
      </c>
    </row>
    <row r="1186" spans="1:9" x14ac:dyDescent="0.35">
      <c r="A1186" t="s">
        <v>5342</v>
      </c>
      <c r="B1186" t="str">
        <f>"9780299219031"</f>
        <v>9780299219031</v>
      </c>
      <c r="C1186" t="s">
        <v>5346</v>
      </c>
      <c r="D1186" t="s">
        <v>5344</v>
      </c>
      <c r="E1186" t="s">
        <v>5337</v>
      </c>
      <c r="F1186" t="s">
        <v>5343</v>
      </c>
      <c r="H1186" t="s">
        <v>147</v>
      </c>
      <c r="I1186" t="s">
        <v>5345</v>
      </c>
    </row>
    <row r="1187" spans="1:9" x14ac:dyDescent="0.35">
      <c r="A1187" t="s">
        <v>5347</v>
      </c>
      <c r="B1187" t="str">
        <f>"9780299213237"</f>
        <v>9780299213237</v>
      </c>
      <c r="C1187" t="s">
        <v>5350</v>
      </c>
      <c r="D1187" t="s">
        <v>5348</v>
      </c>
      <c r="E1187" t="s">
        <v>5337</v>
      </c>
      <c r="F1187" t="s">
        <v>5338</v>
      </c>
      <c r="H1187" t="s">
        <v>147</v>
      </c>
      <c r="I1187" t="s">
        <v>5349</v>
      </c>
    </row>
    <row r="1188" spans="1:9" x14ac:dyDescent="0.35">
      <c r="A1188" t="s">
        <v>5351</v>
      </c>
      <c r="B1188" t="str">
        <f>"9780299212131"</f>
        <v>9780299212131</v>
      </c>
      <c r="C1188" t="s">
        <v>5355</v>
      </c>
      <c r="D1188" t="s">
        <v>5353</v>
      </c>
      <c r="E1188" t="s">
        <v>5337</v>
      </c>
      <c r="F1188" t="s">
        <v>5352</v>
      </c>
      <c r="H1188" t="s">
        <v>22</v>
      </c>
      <c r="I1188" t="s">
        <v>5354</v>
      </c>
    </row>
    <row r="1189" spans="1:9" x14ac:dyDescent="0.35">
      <c r="A1189" t="s">
        <v>5356</v>
      </c>
      <c r="B1189" t="str">
        <f>"9780299222031"</f>
        <v>9780299222031</v>
      </c>
      <c r="C1189" t="s">
        <v>5360</v>
      </c>
      <c r="D1189" t="s">
        <v>5358</v>
      </c>
      <c r="E1189" t="s">
        <v>5337</v>
      </c>
      <c r="F1189" t="s">
        <v>5357</v>
      </c>
      <c r="H1189" t="s">
        <v>38</v>
      </c>
      <c r="I1189" t="s">
        <v>5359</v>
      </c>
    </row>
    <row r="1190" spans="1:9" x14ac:dyDescent="0.35">
      <c r="A1190" t="s">
        <v>5361</v>
      </c>
      <c r="B1190" t="str">
        <f>"9780299222833"</f>
        <v>9780299222833</v>
      </c>
      <c r="C1190" t="s">
        <v>5364</v>
      </c>
      <c r="D1190" t="s">
        <v>5362</v>
      </c>
      <c r="E1190" t="s">
        <v>5337</v>
      </c>
      <c r="H1190" t="s">
        <v>2300</v>
      </c>
      <c r="I1190" t="s">
        <v>5363</v>
      </c>
    </row>
    <row r="1191" spans="1:9" x14ac:dyDescent="0.35">
      <c r="A1191" t="s">
        <v>5365</v>
      </c>
      <c r="B1191" t="str">
        <f>"9780299231231"</f>
        <v>9780299231231</v>
      </c>
      <c r="C1191" t="s">
        <v>5368</v>
      </c>
      <c r="D1191" t="s">
        <v>5366</v>
      </c>
      <c r="E1191" t="s">
        <v>5337</v>
      </c>
      <c r="H1191" t="s">
        <v>22</v>
      </c>
      <c r="I1191" t="s">
        <v>5367</v>
      </c>
    </row>
    <row r="1192" spans="1:9" x14ac:dyDescent="0.35">
      <c r="A1192" t="s">
        <v>5369</v>
      </c>
      <c r="B1192" t="str">
        <f>"9780299223137"</f>
        <v>9780299223137</v>
      </c>
      <c r="C1192" t="s">
        <v>5372</v>
      </c>
      <c r="D1192" t="s">
        <v>5370</v>
      </c>
      <c r="E1192" t="s">
        <v>5337</v>
      </c>
      <c r="H1192" t="s">
        <v>22</v>
      </c>
      <c r="I1192" t="s">
        <v>5371</v>
      </c>
    </row>
    <row r="1193" spans="1:9" x14ac:dyDescent="0.35">
      <c r="A1193" t="s">
        <v>5373</v>
      </c>
      <c r="B1193" t="str">
        <f>"9780299235338"</f>
        <v>9780299235338</v>
      </c>
      <c r="C1193" t="s">
        <v>5377</v>
      </c>
      <c r="D1193" t="s">
        <v>5375</v>
      </c>
      <c r="E1193" t="s">
        <v>5337</v>
      </c>
      <c r="F1193" t="s">
        <v>5374</v>
      </c>
      <c r="H1193" t="s">
        <v>209</v>
      </c>
      <c r="I1193" t="s">
        <v>5376</v>
      </c>
    </row>
    <row r="1194" spans="1:9" x14ac:dyDescent="0.35">
      <c r="A1194" t="s">
        <v>5378</v>
      </c>
      <c r="B1194" t="str">
        <f>"9780299236236"</f>
        <v>9780299236236</v>
      </c>
      <c r="C1194" t="s">
        <v>5381</v>
      </c>
      <c r="D1194" t="s">
        <v>5379</v>
      </c>
      <c r="E1194" t="s">
        <v>5337</v>
      </c>
      <c r="F1194" t="s">
        <v>5343</v>
      </c>
      <c r="H1194" t="s">
        <v>147</v>
      </c>
      <c r="I1194" t="s">
        <v>5380</v>
      </c>
    </row>
    <row r="1195" spans="1:9" x14ac:dyDescent="0.35">
      <c r="A1195" t="s">
        <v>5382</v>
      </c>
      <c r="B1195" t="str">
        <f>"9780299229139"</f>
        <v>9780299229139</v>
      </c>
      <c r="C1195" t="s">
        <v>5386</v>
      </c>
      <c r="D1195" t="s">
        <v>5384</v>
      </c>
      <c r="E1195" t="s">
        <v>5337</v>
      </c>
      <c r="F1195" t="s">
        <v>5383</v>
      </c>
      <c r="H1195" t="s">
        <v>163</v>
      </c>
      <c r="I1195" t="s">
        <v>5385</v>
      </c>
    </row>
    <row r="1196" spans="1:9" x14ac:dyDescent="0.35">
      <c r="A1196" t="s">
        <v>5387</v>
      </c>
      <c r="B1196" t="str">
        <f>"9780299228835"</f>
        <v>9780299228835</v>
      </c>
      <c r="C1196" t="s">
        <v>5390</v>
      </c>
      <c r="D1196" t="s">
        <v>5388</v>
      </c>
      <c r="E1196" t="s">
        <v>5337</v>
      </c>
      <c r="F1196" t="s">
        <v>5338</v>
      </c>
      <c r="H1196" t="s">
        <v>147</v>
      </c>
      <c r="I1196" t="s">
        <v>5389</v>
      </c>
    </row>
    <row r="1197" spans="1:9" x14ac:dyDescent="0.35">
      <c r="A1197" t="s">
        <v>5391</v>
      </c>
      <c r="B1197" t="str">
        <f>"9780299248536"</f>
        <v>9780299248536</v>
      </c>
      <c r="C1197" t="s">
        <v>5394</v>
      </c>
      <c r="D1197" t="s">
        <v>5392</v>
      </c>
      <c r="E1197" t="s">
        <v>5337</v>
      </c>
      <c r="H1197" t="s">
        <v>22</v>
      </c>
      <c r="I1197" t="s">
        <v>5393</v>
      </c>
    </row>
    <row r="1198" spans="1:9" x14ac:dyDescent="0.35">
      <c r="A1198" t="s">
        <v>5395</v>
      </c>
      <c r="B1198" t="str">
        <f>"9780299215934"</f>
        <v>9780299215934</v>
      </c>
      <c r="C1198" t="s">
        <v>5399</v>
      </c>
      <c r="D1198" t="s">
        <v>5397</v>
      </c>
      <c r="E1198" t="s">
        <v>5337</v>
      </c>
      <c r="F1198" t="s">
        <v>5396</v>
      </c>
      <c r="H1198" t="s">
        <v>147</v>
      </c>
      <c r="I1198" t="s">
        <v>5398</v>
      </c>
    </row>
    <row r="1199" spans="1:9" x14ac:dyDescent="0.35">
      <c r="A1199" t="s">
        <v>5400</v>
      </c>
      <c r="B1199" t="str">
        <f>"9780299235635"</f>
        <v>9780299235635</v>
      </c>
      <c r="C1199" t="s">
        <v>5404</v>
      </c>
      <c r="D1199" t="s">
        <v>5402</v>
      </c>
      <c r="E1199" t="s">
        <v>5337</v>
      </c>
      <c r="F1199" t="s">
        <v>5401</v>
      </c>
      <c r="H1199" t="s">
        <v>22</v>
      </c>
      <c r="I1199" t="s">
        <v>5403</v>
      </c>
    </row>
    <row r="1200" spans="1:9" x14ac:dyDescent="0.35">
      <c r="A1200" t="s">
        <v>5405</v>
      </c>
      <c r="B1200" t="str">
        <f>"9780299282134"</f>
        <v>9780299282134</v>
      </c>
      <c r="C1200" t="s">
        <v>5408</v>
      </c>
      <c r="D1200" t="s">
        <v>5406</v>
      </c>
      <c r="E1200" t="s">
        <v>5337</v>
      </c>
      <c r="F1200" t="s">
        <v>5338</v>
      </c>
      <c r="H1200" t="s">
        <v>75</v>
      </c>
      <c r="I1200" t="s">
        <v>5407</v>
      </c>
    </row>
    <row r="1201" spans="1:9" x14ac:dyDescent="0.35">
      <c r="A1201" t="s">
        <v>5409</v>
      </c>
      <c r="B1201" t="str">
        <f>"9780299282332"</f>
        <v>9780299282332</v>
      </c>
      <c r="C1201" t="s">
        <v>5412</v>
      </c>
      <c r="D1201" t="s">
        <v>5410</v>
      </c>
      <c r="E1201" t="s">
        <v>5337</v>
      </c>
      <c r="H1201" t="s">
        <v>86</v>
      </c>
      <c r="I1201" t="s">
        <v>5411</v>
      </c>
    </row>
    <row r="1202" spans="1:9" x14ac:dyDescent="0.35">
      <c r="A1202" t="s">
        <v>5413</v>
      </c>
      <c r="B1202" t="str">
        <f>"9780299283933"</f>
        <v>9780299283933</v>
      </c>
      <c r="C1202" t="s">
        <v>5417</v>
      </c>
      <c r="D1202" t="s">
        <v>5415</v>
      </c>
      <c r="E1202" t="s">
        <v>5337</v>
      </c>
      <c r="F1202" t="s">
        <v>5414</v>
      </c>
      <c r="H1202" t="s">
        <v>75</v>
      </c>
      <c r="I1202" t="s">
        <v>5416</v>
      </c>
    </row>
    <row r="1203" spans="1:9" x14ac:dyDescent="0.35">
      <c r="A1203" t="s">
        <v>5418</v>
      </c>
      <c r="B1203" t="str">
        <f>"9780299287337"</f>
        <v>9780299287337</v>
      </c>
      <c r="C1203" t="s">
        <v>5421</v>
      </c>
      <c r="D1203" t="s">
        <v>5419</v>
      </c>
      <c r="E1203" t="s">
        <v>5337</v>
      </c>
      <c r="F1203" t="s">
        <v>5338</v>
      </c>
      <c r="H1203" t="s">
        <v>147</v>
      </c>
      <c r="I1203" t="s">
        <v>5420</v>
      </c>
    </row>
    <row r="1204" spans="1:9" x14ac:dyDescent="0.35">
      <c r="A1204" t="s">
        <v>5422</v>
      </c>
      <c r="B1204" t="str">
        <f>"9780299286934"</f>
        <v>9780299286934</v>
      </c>
      <c r="C1204" t="s">
        <v>5425</v>
      </c>
      <c r="D1204" t="s">
        <v>5423</v>
      </c>
      <c r="E1204" t="s">
        <v>5337</v>
      </c>
      <c r="H1204" t="s">
        <v>22</v>
      </c>
      <c r="I1204" t="s">
        <v>5424</v>
      </c>
    </row>
    <row r="1205" spans="1:9" x14ac:dyDescent="0.35">
      <c r="A1205" t="s">
        <v>5426</v>
      </c>
      <c r="B1205" t="str">
        <f>"9780299292539"</f>
        <v>9780299292539</v>
      </c>
      <c r="C1205" t="s">
        <v>5429</v>
      </c>
      <c r="D1205" t="s">
        <v>5427</v>
      </c>
      <c r="E1205" t="s">
        <v>5337</v>
      </c>
      <c r="F1205" t="s">
        <v>5338</v>
      </c>
      <c r="H1205" t="s">
        <v>147</v>
      </c>
      <c r="I1205" t="s">
        <v>5428</v>
      </c>
    </row>
    <row r="1206" spans="1:9" x14ac:dyDescent="0.35">
      <c r="A1206" t="s">
        <v>5430</v>
      </c>
      <c r="B1206" t="str">
        <f>"9780299294236"</f>
        <v>9780299294236</v>
      </c>
      <c r="C1206" t="s">
        <v>5433</v>
      </c>
      <c r="D1206" t="s">
        <v>5431</v>
      </c>
      <c r="E1206" t="s">
        <v>5337</v>
      </c>
      <c r="H1206" t="s">
        <v>147</v>
      </c>
      <c r="I1206" t="s">
        <v>5432</v>
      </c>
    </row>
    <row r="1207" spans="1:9" x14ac:dyDescent="0.35">
      <c r="A1207" t="s">
        <v>5434</v>
      </c>
      <c r="B1207" t="str">
        <f>"9780299294939"</f>
        <v>9780299294939</v>
      </c>
      <c r="C1207" t="s">
        <v>5436</v>
      </c>
      <c r="D1207" t="s">
        <v>5435</v>
      </c>
      <c r="E1207" t="s">
        <v>5337</v>
      </c>
      <c r="F1207" t="s">
        <v>5338</v>
      </c>
      <c r="H1207" t="s">
        <v>275</v>
      </c>
      <c r="I1207" t="s">
        <v>5435</v>
      </c>
    </row>
    <row r="1208" spans="1:9" x14ac:dyDescent="0.35">
      <c r="A1208" t="s">
        <v>5437</v>
      </c>
      <c r="B1208" t="str">
        <f>"9780299295639"</f>
        <v>9780299295639</v>
      </c>
      <c r="C1208" t="s">
        <v>5440</v>
      </c>
      <c r="D1208" t="s">
        <v>5438</v>
      </c>
      <c r="E1208" t="s">
        <v>5337</v>
      </c>
      <c r="H1208" t="s">
        <v>147</v>
      </c>
      <c r="I1208" t="s">
        <v>5439</v>
      </c>
    </row>
    <row r="1209" spans="1:9" x14ac:dyDescent="0.35">
      <c r="A1209" t="s">
        <v>5441</v>
      </c>
      <c r="B1209" t="str">
        <f>"9780299165833"</f>
        <v>9780299165833</v>
      </c>
      <c r="C1209" t="s">
        <v>5445</v>
      </c>
      <c r="D1209" t="s">
        <v>5442</v>
      </c>
      <c r="E1209" t="s">
        <v>5337</v>
      </c>
      <c r="F1209" t="s">
        <v>5414</v>
      </c>
      <c r="H1209" t="s">
        <v>5443</v>
      </c>
      <c r="I1209" t="s">
        <v>5444</v>
      </c>
    </row>
    <row r="1210" spans="1:9" x14ac:dyDescent="0.35">
      <c r="A1210" t="s">
        <v>5446</v>
      </c>
      <c r="B1210" t="str">
        <f>"9780299296339"</f>
        <v>9780299296339</v>
      </c>
      <c r="C1210" t="s">
        <v>5448</v>
      </c>
      <c r="D1210" t="s">
        <v>5447</v>
      </c>
      <c r="E1210" t="s">
        <v>5337</v>
      </c>
      <c r="F1210" t="s">
        <v>5414</v>
      </c>
      <c r="H1210" t="s">
        <v>937</v>
      </c>
      <c r="I1210" t="s">
        <v>5444</v>
      </c>
    </row>
    <row r="1211" spans="1:9" x14ac:dyDescent="0.35">
      <c r="A1211" t="s">
        <v>5449</v>
      </c>
      <c r="B1211" t="str">
        <f>"9780299297732"</f>
        <v>9780299297732</v>
      </c>
      <c r="C1211" t="s">
        <v>5452</v>
      </c>
      <c r="D1211" t="s">
        <v>5450</v>
      </c>
      <c r="E1211" t="s">
        <v>5337</v>
      </c>
      <c r="H1211" t="s">
        <v>22</v>
      </c>
      <c r="I1211" t="s">
        <v>5451</v>
      </c>
    </row>
    <row r="1212" spans="1:9" x14ac:dyDescent="0.35">
      <c r="A1212" t="s">
        <v>5453</v>
      </c>
      <c r="B1212" t="str">
        <f>"9780299302634"</f>
        <v>9780299302634</v>
      </c>
      <c r="C1212" t="s">
        <v>5456</v>
      </c>
      <c r="D1212" t="s">
        <v>5454</v>
      </c>
      <c r="E1212" t="s">
        <v>5337</v>
      </c>
      <c r="H1212" t="s">
        <v>22</v>
      </c>
      <c r="I1212" t="s">
        <v>5455</v>
      </c>
    </row>
    <row r="1213" spans="1:9" x14ac:dyDescent="0.35">
      <c r="A1213" t="s">
        <v>5457</v>
      </c>
      <c r="B1213" t="str">
        <f>"9780309210621"</f>
        <v>9780309210621</v>
      </c>
      <c r="C1213" t="s">
        <v>5460</v>
      </c>
      <c r="D1213" t="s">
        <v>5458</v>
      </c>
      <c r="E1213" t="s">
        <v>4619</v>
      </c>
      <c r="H1213" t="s">
        <v>17</v>
      </c>
      <c r="I1213" t="s">
        <v>5459</v>
      </c>
    </row>
    <row r="1214" spans="1:9" x14ac:dyDescent="0.35">
      <c r="A1214" t="s">
        <v>5461</v>
      </c>
      <c r="B1214" t="str">
        <f>"9780813565927"</f>
        <v>9780813565927</v>
      </c>
      <c r="C1214" t="s">
        <v>5466</v>
      </c>
      <c r="D1214" t="s">
        <v>5463</v>
      </c>
      <c r="E1214" t="s">
        <v>366</v>
      </c>
      <c r="F1214" t="s">
        <v>5462</v>
      </c>
      <c r="H1214" t="s">
        <v>5464</v>
      </c>
      <c r="I1214" t="s">
        <v>5465</v>
      </c>
    </row>
    <row r="1215" spans="1:9" x14ac:dyDescent="0.35">
      <c r="A1215" t="s">
        <v>5467</v>
      </c>
      <c r="B1215" t="str">
        <f>"9780472029372"</f>
        <v>9780472029372</v>
      </c>
      <c r="C1215" t="s">
        <v>5470</v>
      </c>
      <c r="D1215" t="s">
        <v>5468</v>
      </c>
      <c r="E1215" t="s">
        <v>4974</v>
      </c>
      <c r="F1215" t="s">
        <v>5000</v>
      </c>
      <c r="H1215" t="s">
        <v>1657</v>
      </c>
      <c r="I1215" t="s">
        <v>5469</v>
      </c>
    </row>
    <row r="1216" spans="1:9" x14ac:dyDescent="0.35">
      <c r="A1216" t="s">
        <v>5471</v>
      </c>
      <c r="B1216" t="str">
        <f>"9780472120086"</f>
        <v>9780472120086</v>
      </c>
      <c r="C1216" t="s">
        <v>5474</v>
      </c>
      <c r="D1216" t="s">
        <v>5472</v>
      </c>
      <c r="E1216" t="s">
        <v>4974</v>
      </c>
      <c r="F1216" t="s">
        <v>5005</v>
      </c>
      <c r="H1216" t="s">
        <v>349</v>
      </c>
      <c r="I1216" t="s">
        <v>5473</v>
      </c>
    </row>
    <row r="1217" spans="1:9" x14ac:dyDescent="0.35">
      <c r="A1217" t="s">
        <v>5475</v>
      </c>
      <c r="B1217" t="str">
        <f>"9780826266194"</f>
        <v>9780826266194</v>
      </c>
      <c r="C1217" t="s">
        <v>5478</v>
      </c>
      <c r="D1217" t="s">
        <v>5476</v>
      </c>
      <c r="E1217" t="s">
        <v>5101</v>
      </c>
      <c r="H1217" t="s">
        <v>147</v>
      </c>
      <c r="I1217" t="s">
        <v>5477</v>
      </c>
    </row>
    <row r="1218" spans="1:9" x14ac:dyDescent="0.35">
      <c r="A1218" t="s">
        <v>5479</v>
      </c>
      <c r="B1218" t="str">
        <f>"9780292737853"</f>
        <v>9780292737853</v>
      </c>
      <c r="C1218" t="s">
        <v>5482</v>
      </c>
      <c r="D1218" t="s">
        <v>5480</v>
      </c>
      <c r="E1218" t="s">
        <v>5211</v>
      </c>
      <c r="H1218" t="s">
        <v>170</v>
      </c>
      <c r="I1218" t="s">
        <v>5481</v>
      </c>
    </row>
    <row r="1219" spans="1:9" x14ac:dyDescent="0.35">
      <c r="A1219" t="s">
        <v>5483</v>
      </c>
      <c r="B1219" t="str">
        <f>"9780292768338"</f>
        <v>9780292768338</v>
      </c>
      <c r="C1219" t="s">
        <v>5485</v>
      </c>
      <c r="D1219" t="s">
        <v>5220</v>
      </c>
      <c r="E1219" t="s">
        <v>5211</v>
      </c>
      <c r="H1219" t="s">
        <v>86</v>
      </c>
      <c r="I1219" t="s">
        <v>5484</v>
      </c>
    </row>
    <row r="1220" spans="1:9" x14ac:dyDescent="0.35">
      <c r="A1220" t="s">
        <v>5486</v>
      </c>
      <c r="B1220" t="str">
        <f>"9780292763166"</f>
        <v>9780292763166</v>
      </c>
      <c r="C1220" t="s">
        <v>5489</v>
      </c>
      <c r="D1220" t="s">
        <v>5487</v>
      </c>
      <c r="E1220" t="s">
        <v>5211</v>
      </c>
      <c r="H1220" t="s">
        <v>22</v>
      </c>
      <c r="I1220" t="s">
        <v>5488</v>
      </c>
    </row>
    <row r="1221" spans="1:9" x14ac:dyDescent="0.35">
      <c r="A1221" t="s">
        <v>5490</v>
      </c>
      <c r="B1221" t="str">
        <f>"9780292763111"</f>
        <v>9780292763111</v>
      </c>
      <c r="C1221" t="s">
        <v>5494</v>
      </c>
      <c r="D1221" t="s">
        <v>5492</v>
      </c>
      <c r="E1221" t="s">
        <v>5211</v>
      </c>
      <c r="F1221" t="s">
        <v>5491</v>
      </c>
      <c r="H1221" t="s">
        <v>147</v>
      </c>
      <c r="I1221" t="s">
        <v>5493</v>
      </c>
    </row>
    <row r="1222" spans="1:9" x14ac:dyDescent="0.35">
      <c r="A1222" t="s">
        <v>5495</v>
      </c>
      <c r="B1222" t="str">
        <f>"9781611688085"</f>
        <v>9781611688085</v>
      </c>
      <c r="C1222" t="s">
        <v>5498</v>
      </c>
      <c r="D1222" t="s">
        <v>5497</v>
      </c>
      <c r="E1222" t="s">
        <v>5496</v>
      </c>
      <c r="H1222" t="s">
        <v>22</v>
      </c>
    </row>
    <row r="1223" spans="1:9" x14ac:dyDescent="0.35">
      <c r="A1223" t="s">
        <v>5499</v>
      </c>
      <c r="B1223" t="str">
        <f>"9781611689198"</f>
        <v>9781611689198</v>
      </c>
      <c r="C1223" t="s">
        <v>5501</v>
      </c>
      <c r="D1223" t="s">
        <v>5500</v>
      </c>
      <c r="E1223" t="s">
        <v>2744</v>
      </c>
      <c r="H1223" t="s">
        <v>2768</v>
      </c>
    </row>
    <row r="1224" spans="1:9" x14ac:dyDescent="0.35">
      <c r="A1224" t="s">
        <v>5502</v>
      </c>
      <c r="B1224" t="str">
        <f>"9780813147079"</f>
        <v>9780813147079</v>
      </c>
      <c r="C1224" t="s">
        <v>5506</v>
      </c>
      <c r="D1224" t="s">
        <v>5505</v>
      </c>
      <c r="E1224" t="s">
        <v>5503</v>
      </c>
      <c r="F1224" t="s">
        <v>5504</v>
      </c>
      <c r="H1224" t="s">
        <v>22</v>
      </c>
    </row>
    <row r="1225" spans="1:9" x14ac:dyDescent="0.35">
      <c r="A1225" t="s">
        <v>5507</v>
      </c>
      <c r="B1225" t="str">
        <f>"9781782414391"</f>
        <v>9781782414391</v>
      </c>
      <c r="C1225" t="s">
        <v>5511</v>
      </c>
      <c r="D1225" t="s">
        <v>5508</v>
      </c>
      <c r="E1225" t="s">
        <v>9</v>
      </c>
      <c r="H1225" t="s">
        <v>5509</v>
      </c>
      <c r="I1225" t="s">
        <v>5510</v>
      </c>
    </row>
    <row r="1226" spans="1:9" x14ac:dyDescent="0.35">
      <c r="A1226" t="s">
        <v>5512</v>
      </c>
      <c r="B1226" t="str">
        <f>"9780199336937"</f>
        <v>9780199336937</v>
      </c>
      <c r="C1226" t="s">
        <v>5515</v>
      </c>
      <c r="D1226" t="s">
        <v>5513</v>
      </c>
      <c r="E1226" t="s">
        <v>167</v>
      </c>
      <c r="H1226" t="s">
        <v>1111</v>
      </c>
      <c r="I1226" t="s">
        <v>5514</v>
      </c>
    </row>
    <row r="1227" spans="1:9" x14ac:dyDescent="0.35">
      <c r="A1227" t="s">
        <v>5516</v>
      </c>
      <c r="B1227" t="str">
        <f>"9780739185063"</f>
        <v>9780739185063</v>
      </c>
      <c r="C1227" t="s">
        <v>5520</v>
      </c>
      <c r="D1227" t="s">
        <v>5518</v>
      </c>
      <c r="E1227" t="s">
        <v>887</v>
      </c>
      <c r="F1227" t="s">
        <v>5517</v>
      </c>
      <c r="H1227" t="s">
        <v>22</v>
      </c>
      <c r="I1227" t="s">
        <v>5519</v>
      </c>
    </row>
    <row r="1228" spans="1:9" x14ac:dyDescent="0.35">
      <c r="A1228" t="s">
        <v>5521</v>
      </c>
      <c r="B1228" t="str">
        <f>"9781498516990"</f>
        <v>9781498516990</v>
      </c>
      <c r="C1228" t="s">
        <v>5523</v>
      </c>
      <c r="D1228" t="s">
        <v>5522</v>
      </c>
      <c r="E1228" t="s">
        <v>887</v>
      </c>
      <c r="H1228" t="s">
        <v>22</v>
      </c>
      <c r="I1228" t="s">
        <v>3216</v>
      </c>
    </row>
    <row r="1229" spans="1:9" x14ac:dyDescent="0.35">
      <c r="A1229" t="s">
        <v>5524</v>
      </c>
      <c r="B1229" t="str">
        <f>"9781498521970"</f>
        <v>9781498521970</v>
      </c>
      <c r="C1229" t="s">
        <v>5527</v>
      </c>
      <c r="D1229" t="s">
        <v>5525</v>
      </c>
      <c r="E1229" t="s">
        <v>887</v>
      </c>
      <c r="H1229" t="s">
        <v>22</v>
      </c>
      <c r="I1229" t="s">
        <v>5526</v>
      </c>
    </row>
    <row r="1230" spans="1:9" x14ac:dyDescent="0.35">
      <c r="A1230" t="s">
        <v>5528</v>
      </c>
      <c r="B1230" t="str">
        <f>"9781498527736"</f>
        <v>9781498527736</v>
      </c>
      <c r="C1230" t="s">
        <v>5531</v>
      </c>
      <c r="D1230" t="s">
        <v>5529</v>
      </c>
      <c r="E1230" t="s">
        <v>887</v>
      </c>
      <c r="H1230" t="s">
        <v>22</v>
      </c>
      <c r="I1230" t="s">
        <v>5530</v>
      </c>
    </row>
    <row r="1231" spans="1:9" x14ac:dyDescent="0.35">
      <c r="A1231" t="s">
        <v>5532</v>
      </c>
      <c r="B1231" t="str">
        <f>"9780253018113"</f>
        <v>9780253018113</v>
      </c>
      <c r="C1231" t="s">
        <v>5535</v>
      </c>
      <c r="D1231" t="s">
        <v>5533</v>
      </c>
      <c r="E1231" t="s">
        <v>110</v>
      </c>
      <c r="H1231" t="s">
        <v>86</v>
      </c>
      <c r="I1231" t="s">
        <v>5534</v>
      </c>
    </row>
    <row r="1232" spans="1:9" x14ac:dyDescent="0.35">
      <c r="A1232" t="s">
        <v>5536</v>
      </c>
      <c r="B1232" t="str">
        <f>"9781612494302"</f>
        <v>9781612494302</v>
      </c>
      <c r="C1232" t="s">
        <v>5540</v>
      </c>
      <c r="D1232" t="s">
        <v>5538</v>
      </c>
      <c r="E1232" t="s">
        <v>4313</v>
      </c>
      <c r="F1232" t="s">
        <v>5537</v>
      </c>
      <c r="H1232" t="s">
        <v>147</v>
      </c>
      <c r="I1232" t="s">
        <v>5539</v>
      </c>
    </row>
    <row r="1233" spans="1:9" x14ac:dyDescent="0.35">
      <c r="A1233" t="s">
        <v>5541</v>
      </c>
      <c r="B1233" t="str">
        <f>"9781315631035"</f>
        <v>9781315631035</v>
      </c>
      <c r="C1233" t="s">
        <v>5545</v>
      </c>
      <c r="D1233" t="s">
        <v>5543</v>
      </c>
      <c r="E1233" t="s">
        <v>9</v>
      </c>
      <c r="F1233" t="s">
        <v>5542</v>
      </c>
      <c r="H1233" t="s">
        <v>22</v>
      </c>
      <c r="I1233" t="s">
        <v>5544</v>
      </c>
    </row>
    <row r="1234" spans="1:9" x14ac:dyDescent="0.35">
      <c r="A1234" t="s">
        <v>5546</v>
      </c>
      <c r="B1234" t="str">
        <f>"9781315631585"</f>
        <v>9781315631585</v>
      </c>
      <c r="C1234" t="s">
        <v>5550</v>
      </c>
      <c r="D1234" t="s">
        <v>5548</v>
      </c>
      <c r="E1234" t="s">
        <v>9</v>
      </c>
      <c r="F1234" t="s">
        <v>5547</v>
      </c>
      <c r="H1234" t="s">
        <v>22</v>
      </c>
      <c r="I1234" t="s">
        <v>5549</v>
      </c>
    </row>
    <row r="1235" spans="1:9" x14ac:dyDescent="0.35">
      <c r="A1235" t="s">
        <v>5551</v>
      </c>
      <c r="B1235" t="str">
        <f>"9781315634166"</f>
        <v>9781315634166</v>
      </c>
      <c r="C1235" t="s">
        <v>5553</v>
      </c>
      <c r="D1235" t="s">
        <v>2180</v>
      </c>
      <c r="E1235" t="s">
        <v>9</v>
      </c>
      <c r="H1235" t="s">
        <v>38</v>
      </c>
      <c r="I1235" t="s">
        <v>5552</v>
      </c>
    </row>
    <row r="1236" spans="1:9" x14ac:dyDescent="0.35">
      <c r="A1236" t="s">
        <v>5554</v>
      </c>
      <c r="B1236" t="str">
        <f>"9780231540872"</f>
        <v>9780231540872</v>
      </c>
      <c r="C1236" t="s">
        <v>5557</v>
      </c>
      <c r="D1236" t="s">
        <v>5555</v>
      </c>
      <c r="E1236" t="s">
        <v>2251</v>
      </c>
      <c r="F1236" t="s">
        <v>2273</v>
      </c>
      <c r="H1236" t="s">
        <v>22</v>
      </c>
      <c r="I1236" t="s">
        <v>5556</v>
      </c>
    </row>
    <row r="1237" spans="1:9" x14ac:dyDescent="0.35">
      <c r="A1237" t="s">
        <v>5558</v>
      </c>
      <c r="B1237" t="str">
        <f>"9780295806174"</f>
        <v>9780295806174</v>
      </c>
      <c r="C1237" t="s">
        <v>5562</v>
      </c>
      <c r="D1237" t="s">
        <v>5560</v>
      </c>
      <c r="E1237" t="s">
        <v>5318</v>
      </c>
      <c r="F1237" t="s">
        <v>5559</v>
      </c>
      <c r="H1237" t="s">
        <v>397</v>
      </c>
      <c r="I1237" t="s">
        <v>5561</v>
      </c>
    </row>
    <row r="1238" spans="1:9" x14ac:dyDescent="0.35">
      <c r="A1238" t="s">
        <v>5563</v>
      </c>
      <c r="B1238" t="str">
        <f>"9780252097737"</f>
        <v>9780252097737</v>
      </c>
      <c r="C1238" t="s">
        <v>5566</v>
      </c>
      <c r="D1238" t="s">
        <v>5564</v>
      </c>
      <c r="E1238" t="s">
        <v>4871</v>
      </c>
      <c r="F1238" t="s">
        <v>4931</v>
      </c>
      <c r="H1238" t="s">
        <v>153</v>
      </c>
      <c r="I1238" t="s">
        <v>5565</v>
      </c>
    </row>
    <row r="1239" spans="1:9" x14ac:dyDescent="0.35">
      <c r="A1239" t="s">
        <v>5567</v>
      </c>
      <c r="B1239" t="str">
        <f>"9780252098208"</f>
        <v>9780252098208</v>
      </c>
      <c r="C1239" t="s">
        <v>5570</v>
      </c>
      <c r="D1239" t="s">
        <v>5568</v>
      </c>
      <c r="E1239" t="s">
        <v>4871</v>
      </c>
      <c r="H1239" t="s">
        <v>86</v>
      </c>
      <c r="I1239" t="s">
        <v>5569</v>
      </c>
    </row>
    <row r="1240" spans="1:9" x14ac:dyDescent="0.35">
      <c r="A1240" t="s">
        <v>5571</v>
      </c>
      <c r="B1240" t="str">
        <f>"9780817388508"</f>
        <v>9780817388508</v>
      </c>
      <c r="C1240" t="s">
        <v>5574</v>
      </c>
      <c r="D1240" t="s">
        <v>5572</v>
      </c>
      <c r="E1240" t="s">
        <v>749</v>
      </c>
      <c r="H1240" t="s">
        <v>22</v>
      </c>
      <c r="I1240" t="s">
        <v>5573</v>
      </c>
    </row>
    <row r="1241" spans="1:9" x14ac:dyDescent="0.35">
      <c r="A1241" t="s">
        <v>5575</v>
      </c>
      <c r="B1241" t="str">
        <f>"9780826356291"</f>
        <v>9780826356291</v>
      </c>
      <c r="C1241" t="s">
        <v>5578</v>
      </c>
      <c r="D1241" t="s">
        <v>5576</v>
      </c>
      <c r="E1241" t="s">
        <v>2830</v>
      </c>
      <c r="H1241" t="s">
        <v>163</v>
      </c>
      <c r="I1241" t="s">
        <v>5577</v>
      </c>
    </row>
    <row r="1242" spans="1:9" x14ac:dyDescent="0.35">
      <c r="A1242" t="s">
        <v>5579</v>
      </c>
      <c r="B1242" t="str">
        <f>"9780812291865"</f>
        <v>9780812291865</v>
      </c>
      <c r="C1242" t="s">
        <v>5582</v>
      </c>
      <c r="D1242" t="s">
        <v>5580</v>
      </c>
      <c r="E1242" t="s">
        <v>5115</v>
      </c>
      <c r="F1242" t="s">
        <v>5138</v>
      </c>
      <c r="H1242" t="s">
        <v>147</v>
      </c>
      <c r="I1242" t="s">
        <v>5581</v>
      </c>
    </row>
    <row r="1243" spans="1:9" x14ac:dyDescent="0.35">
      <c r="A1243" t="s">
        <v>5583</v>
      </c>
      <c r="B1243" t="str">
        <f>"9780812291940"</f>
        <v>9780812291940</v>
      </c>
      <c r="C1243" t="s">
        <v>5586</v>
      </c>
      <c r="D1243" t="s">
        <v>5584</v>
      </c>
      <c r="E1243" t="s">
        <v>5115</v>
      </c>
      <c r="F1243" t="s">
        <v>5152</v>
      </c>
      <c r="H1243" t="s">
        <v>163</v>
      </c>
      <c r="I1243" t="s">
        <v>5585</v>
      </c>
    </row>
    <row r="1244" spans="1:9" x14ac:dyDescent="0.35">
      <c r="A1244" t="s">
        <v>5587</v>
      </c>
      <c r="B1244" t="str">
        <f>"9780812292459"</f>
        <v>9780812292459</v>
      </c>
      <c r="C1244" t="s">
        <v>5591</v>
      </c>
      <c r="D1244" t="s">
        <v>5589</v>
      </c>
      <c r="E1244" t="s">
        <v>5115</v>
      </c>
      <c r="F1244" t="s">
        <v>5588</v>
      </c>
      <c r="H1244" t="s">
        <v>1326</v>
      </c>
      <c r="I1244" t="s">
        <v>5590</v>
      </c>
    </row>
    <row r="1245" spans="1:9" x14ac:dyDescent="0.35">
      <c r="A1245" t="s">
        <v>5592</v>
      </c>
      <c r="B1245" t="str">
        <f>"9781469601007"</f>
        <v>9781469601007</v>
      </c>
      <c r="C1245" t="s">
        <v>5596</v>
      </c>
      <c r="D1245" t="s">
        <v>5594</v>
      </c>
      <c r="E1245" t="s">
        <v>558</v>
      </c>
      <c r="F1245" t="s">
        <v>5593</v>
      </c>
      <c r="H1245" t="s">
        <v>22</v>
      </c>
      <c r="I1245" t="s">
        <v>5595</v>
      </c>
    </row>
    <row r="1246" spans="1:9" x14ac:dyDescent="0.35">
      <c r="A1246" t="s">
        <v>5597</v>
      </c>
      <c r="B1246" t="str">
        <f>"9781317348672"</f>
        <v>9781317348672</v>
      </c>
      <c r="C1246" t="s">
        <v>5600</v>
      </c>
      <c r="D1246" t="s">
        <v>5598</v>
      </c>
      <c r="E1246" t="s">
        <v>9</v>
      </c>
      <c r="H1246" t="s">
        <v>58</v>
      </c>
      <c r="I1246" t="s">
        <v>5599</v>
      </c>
    </row>
    <row r="1247" spans="1:9" x14ac:dyDescent="0.35">
      <c r="A1247" t="s">
        <v>5601</v>
      </c>
      <c r="B1247" t="str">
        <f>"9781626374942"</f>
        <v>9781626374942</v>
      </c>
      <c r="C1247" t="s">
        <v>5604</v>
      </c>
      <c r="D1247" t="s">
        <v>5602</v>
      </c>
      <c r="E1247" t="s">
        <v>4545</v>
      </c>
      <c r="H1247" t="s">
        <v>22</v>
      </c>
      <c r="I1247" t="s">
        <v>5603</v>
      </c>
    </row>
    <row r="1248" spans="1:9" x14ac:dyDescent="0.35">
      <c r="A1248" t="s">
        <v>5605</v>
      </c>
      <c r="B1248" t="str">
        <f>"9781783109371"</f>
        <v>9781783109371</v>
      </c>
      <c r="C1248" t="s">
        <v>5609</v>
      </c>
      <c r="D1248" t="s">
        <v>5607</v>
      </c>
      <c r="E1248" t="s">
        <v>2322</v>
      </c>
      <c r="F1248" t="s">
        <v>5606</v>
      </c>
      <c r="H1248" t="s">
        <v>86</v>
      </c>
      <c r="I1248" t="s">
        <v>5608</v>
      </c>
    </row>
    <row r="1249" spans="1:9" x14ac:dyDescent="0.35">
      <c r="A1249" t="s">
        <v>5610</v>
      </c>
      <c r="B1249" t="str">
        <f>"9781610447201"</f>
        <v>9781610447201</v>
      </c>
      <c r="C1249" t="s">
        <v>5615</v>
      </c>
      <c r="D1249" t="s">
        <v>5613</v>
      </c>
      <c r="E1249" t="s">
        <v>5611</v>
      </c>
      <c r="F1249" t="s">
        <v>5612</v>
      </c>
      <c r="H1249" t="s">
        <v>22</v>
      </c>
      <c r="I1249" t="s">
        <v>5614</v>
      </c>
    </row>
    <row r="1250" spans="1:9" x14ac:dyDescent="0.35">
      <c r="A1250" t="s">
        <v>5616</v>
      </c>
      <c r="B1250" t="str">
        <f>"9780472120604"</f>
        <v>9780472120604</v>
      </c>
      <c r="C1250" t="s">
        <v>5619</v>
      </c>
      <c r="D1250" t="s">
        <v>5617</v>
      </c>
      <c r="E1250" t="s">
        <v>4974</v>
      </c>
      <c r="H1250" t="s">
        <v>22</v>
      </c>
      <c r="I1250" t="s">
        <v>5618</v>
      </c>
    </row>
    <row r="1251" spans="1:9" x14ac:dyDescent="0.35">
      <c r="A1251" t="s">
        <v>5620</v>
      </c>
      <c r="B1251" t="str">
        <f>"9780472120529"</f>
        <v>9780472120529</v>
      </c>
      <c r="C1251" t="s">
        <v>5623</v>
      </c>
      <c r="D1251" t="s">
        <v>5621</v>
      </c>
      <c r="E1251" t="s">
        <v>4974</v>
      </c>
      <c r="F1251" t="s">
        <v>5000</v>
      </c>
      <c r="H1251" t="s">
        <v>3371</v>
      </c>
      <c r="I1251" t="s">
        <v>5622</v>
      </c>
    </row>
    <row r="1252" spans="1:9" x14ac:dyDescent="0.35">
      <c r="A1252" t="s">
        <v>5624</v>
      </c>
      <c r="B1252" t="str">
        <f>"9780472120598"</f>
        <v>9780472120598</v>
      </c>
      <c r="C1252" t="s">
        <v>5627</v>
      </c>
      <c r="D1252" t="s">
        <v>5625</v>
      </c>
      <c r="E1252" t="s">
        <v>4974</v>
      </c>
      <c r="H1252" t="s">
        <v>147</v>
      </c>
      <c r="I1252" t="s">
        <v>5626</v>
      </c>
    </row>
    <row r="1253" spans="1:9" x14ac:dyDescent="0.35">
      <c r="A1253" t="s">
        <v>5628</v>
      </c>
      <c r="B1253" t="str">
        <f>"9781452944685"</f>
        <v>9781452944685</v>
      </c>
      <c r="C1253" t="s">
        <v>5631</v>
      </c>
      <c r="D1253" t="s">
        <v>5629</v>
      </c>
      <c r="E1253" t="s">
        <v>305</v>
      </c>
      <c r="H1253" t="s">
        <v>75</v>
      </c>
      <c r="I1253" t="s">
        <v>5630</v>
      </c>
    </row>
    <row r="1254" spans="1:9" x14ac:dyDescent="0.35">
      <c r="A1254" t="s">
        <v>5632</v>
      </c>
      <c r="B1254" t="str">
        <f>"9781452944968"</f>
        <v>9781452944968</v>
      </c>
      <c r="C1254" t="s">
        <v>5635</v>
      </c>
      <c r="D1254" t="s">
        <v>5633</v>
      </c>
      <c r="E1254" t="s">
        <v>305</v>
      </c>
      <c r="H1254" t="s">
        <v>147</v>
      </c>
      <c r="I1254" t="s">
        <v>5634</v>
      </c>
    </row>
    <row r="1255" spans="1:9" x14ac:dyDescent="0.35">
      <c r="A1255" t="s">
        <v>5636</v>
      </c>
      <c r="B1255" t="str">
        <f>"9781452945026"</f>
        <v>9781452945026</v>
      </c>
      <c r="C1255" t="s">
        <v>5638</v>
      </c>
      <c r="D1255" t="s">
        <v>731</v>
      </c>
      <c r="E1255" t="s">
        <v>305</v>
      </c>
      <c r="H1255" t="s">
        <v>22</v>
      </c>
      <c r="I1255" t="s">
        <v>5637</v>
      </c>
    </row>
    <row r="1256" spans="1:9" x14ac:dyDescent="0.35">
      <c r="A1256" t="s">
        <v>5639</v>
      </c>
      <c r="B1256" t="str">
        <f>"9789888313266"</f>
        <v>9789888313266</v>
      </c>
      <c r="C1256" t="s">
        <v>5642</v>
      </c>
      <c r="D1256" t="s">
        <v>5640</v>
      </c>
      <c r="E1256" t="s">
        <v>1500</v>
      </c>
      <c r="H1256" t="s">
        <v>86</v>
      </c>
      <c r="I1256" t="s">
        <v>5641</v>
      </c>
    </row>
    <row r="1257" spans="1:9" x14ac:dyDescent="0.35">
      <c r="A1257" t="s">
        <v>5643</v>
      </c>
      <c r="B1257" t="str">
        <f>"9781575067186"</f>
        <v>9781575067186</v>
      </c>
      <c r="C1257" t="s">
        <v>5647</v>
      </c>
      <c r="D1257" t="s">
        <v>5645</v>
      </c>
      <c r="E1257" t="s">
        <v>5644</v>
      </c>
      <c r="H1257" t="s">
        <v>2300</v>
      </c>
      <c r="I1257" t="s">
        <v>5646</v>
      </c>
    </row>
    <row r="1258" spans="1:9" x14ac:dyDescent="0.35">
      <c r="A1258" t="s">
        <v>5648</v>
      </c>
      <c r="B1258" t="str">
        <f>"9780773583788"</f>
        <v>9780773583788</v>
      </c>
      <c r="C1258" t="s">
        <v>5651</v>
      </c>
      <c r="D1258" t="s">
        <v>5649</v>
      </c>
      <c r="E1258" t="s">
        <v>4562</v>
      </c>
      <c r="H1258" t="s">
        <v>22</v>
      </c>
      <c r="I1258" t="s">
        <v>5650</v>
      </c>
    </row>
    <row r="1259" spans="1:9" x14ac:dyDescent="0.35">
      <c r="A1259" t="s">
        <v>5652</v>
      </c>
      <c r="B1259" t="str">
        <f>"9781438459059"</f>
        <v>9781438459059</v>
      </c>
      <c r="C1259" t="s">
        <v>5655</v>
      </c>
      <c r="D1259" t="s">
        <v>5653</v>
      </c>
      <c r="E1259" t="s">
        <v>4643</v>
      </c>
      <c r="F1259" t="s">
        <v>4644</v>
      </c>
      <c r="H1259" t="s">
        <v>22</v>
      </c>
      <c r="I1259" t="s">
        <v>5654</v>
      </c>
    </row>
    <row r="1260" spans="1:9" x14ac:dyDescent="0.35">
      <c r="A1260" t="s">
        <v>5656</v>
      </c>
      <c r="B1260" t="str">
        <f>"9781626746039"</f>
        <v>9781626746039</v>
      </c>
      <c r="C1260" t="s">
        <v>5661</v>
      </c>
      <c r="D1260" t="s">
        <v>5658</v>
      </c>
      <c r="E1260" t="s">
        <v>1166</v>
      </c>
      <c r="F1260" t="s">
        <v>5657</v>
      </c>
      <c r="H1260" t="s">
        <v>5659</v>
      </c>
      <c r="I1260" t="s">
        <v>5660</v>
      </c>
    </row>
    <row r="1261" spans="1:9" x14ac:dyDescent="0.35">
      <c r="A1261" t="s">
        <v>5662</v>
      </c>
      <c r="B1261" t="str">
        <f>"9782869786707"</f>
        <v>9782869786707</v>
      </c>
      <c r="C1261" t="s">
        <v>5665</v>
      </c>
      <c r="D1261" t="s">
        <v>5663</v>
      </c>
      <c r="E1261" t="s">
        <v>3044</v>
      </c>
      <c r="H1261" t="s">
        <v>2511</v>
      </c>
      <c r="I1261" t="s">
        <v>5664</v>
      </c>
    </row>
    <row r="1262" spans="1:9" x14ac:dyDescent="0.35">
      <c r="A1262" t="s">
        <v>5666</v>
      </c>
      <c r="B1262" t="str">
        <f>"9781421404059"</f>
        <v>9781421404059</v>
      </c>
      <c r="C1262" t="s">
        <v>5669</v>
      </c>
      <c r="D1262" t="s">
        <v>5667</v>
      </c>
      <c r="E1262" t="s">
        <v>4480</v>
      </c>
      <c r="H1262" t="s">
        <v>138</v>
      </c>
      <c r="I1262" t="s">
        <v>5668</v>
      </c>
    </row>
    <row r="1263" spans="1:9" x14ac:dyDescent="0.35">
      <c r="A1263" t="s">
        <v>5670</v>
      </c>
      <c r="B1263" t="str">
        <f>"9781421418599"</f>
        <v>9781421418599</v>
      </c>
      <c r="C1263" t="s">
        <v>5674</v>
      </c>
      <c r="D1263" t="s">
        <v>5671</v>
      </c>
      <c r="E1263" t="s">
        <v>4480</v>
      </c>
      <c r="H1263" t="s">
        <v>5672</v>
      </c>
      <c r="I1263" t="s">
        <v>5673</v>
      </c>
    </row>
    <row r="1264" spans="1:9" x14ac:dyDescent="0.35">
      <c r="A1264" t="s">
        <v>5675</v>
      </c>
      <c r="B1264" t="str">
        <f>"9781438457192"</f>
        <v>9781438457192</v>
      </c>
      <c r="C1264" t="s">
        <v>5678</v>
      </c>
      <c r="D1264" t="s">
        <v>5676</v>
      </c>
      <c r="E1264" t="s">
        <v>4643</v>
      </c>
      <c r="F1264" t="s">
        <v>4644</v>
      </c>
      <c r="H1264" t="s">
        <v>22</v>
      </c>
      <c r="I1264" t="s">
        <v>5677</v>
      </c>
    </row>
    <row r="1265" spans="1:9" x14ac:dyDescent="0.35">
      <c r="A1265" t="s">
        <v>5679</v>
      </c>
      <c r="B1265" t="str">
        <f>"9781438459127"</f>
        <v>9781438459127</v>
      </c>
      <c r="C1265" t="s">
        <v>5681</v>
      </c>
      <c r="D1265" t="s">
        <v>5680</v>
      </c>
      <c r="E1265" t="s">
        <v>4643</v>
      </c>
      <c r="F1265" t="s">
        <v>4797</v>
      </c>
      <c r="H1265" t="s">
        <v>86</v>
      </c>
      <c r="I1265" t="s">
        <v>3100</v>
      </c>
    </row>
    <row r="1266" spans="1:9" x14ac:dyDescent="0.35">
      <c r="A1266" t="s">
        <v>5682</v>
      </c>
      <c r="B1266" t="str">
        <f>"9781579227890"</f>
        <v>9781579227890</v>
      </c>
      <c r="C1266" t="s">
        <v>5686</v>
      </c>
      <c r="D1266" t="s">
        <v>5684</v>
      </c>
      <c r="E1266" t="s">
        <v>5683</v>
      </c>
      <c r="H1266" t="s">
        <v>209</v>
      </c>
      <c r="I1266" t="s">
        <v>5685</v>
      </c>
    </row>
    <row r="1267" spans="1:9" x14ac:dyDescent="0.35">
      <c r="A1267" t="s">
        <v>5687</v>
      </c>
      <c r="B1267" t="str">
        <f>"9781496804952"</f>
        <v>9781496804952</v>
      </c>
      <c r="C1267" t="s">
        <v>5691</v>
      </c>
      <c r="D1267" t="s">
        <v>5689</v>
      </c>
      <c r="E1267" t="s">
        <v>1166</v>
      </c>
      <c r="F1267" t="s">
        <v>5688</v>
      </c>
      <c r="H1267" t="s">
        <v>86</v>
      </c>
      <c r="I1267" t="s">
        <v>5690</v>
      </c>
    </row>
    <row r="1268" spans="1:9" x14ac:dyDescent="0.35">
      <c r="A1268" t="s">
        <v>5692</v>
      </c>
      <c r="B1268" t="str">
        <f>"9781469628073"</f>
        <v>9781469628073</v>
      </c>
      <c r="C1268" t="s">
        <v>5695</v>
      </c>
      <c r="D1268" t="s">
        <v>5693</v>
      </c>
      <c r="E1268" t="s">
        <v>558</v>
      </c>
      <c r="F1268" t="s">
        <v>1141</v>
      </c>
      <c r="H1268" t="s">
        <v>22</v>
      </c>
      <c r="I1268" t="s">
        <v>5694</v>
      </c>
    </row>
    <row r="1269" spans="1:9" x14ac:dyDescent="0.35">
      <c r="A1269" t="s">
        <v>5696</v>
      </c>
      <c r="B1269" t="str">
        <f>"9781469626796"</f>
        <v>9781469626796</v>
      </c>
      <c r="C1269" t="s">
        <v>5700</v>
      </c>
      <c r="D1269" t="s">
        <v>5697</v>
      </c>
      <c r="E1269" t="s">
        <v>558</v>
      </c>
      <c r="F1269" t="s">
        <v>2166</v>
      </c>
      <c r="H1269" t="s">
        <v>5698</v>
      </c>
      <c r="I1269" t="s">
        <v>5699</v>
      </c>
    </row>
    <row r="1270" spans="1:9" x14ac:dyDescent="0.35">
      <c r="A1270" t="s">
        <v>5701</v>
      </c>
      <c r="B1270" t="str">
        <f>"9780813166964"</f>
        <v>9780813166964</v>
      </c>
      <c r="C1270" t="s">
        <v>5705</v>
      </c>
      <c r="D1270" t="s">
        <v>5703</v>
      </c>
      <c r="E1270" t="s">
        <v>5503</v>
      </c>
      <c r="F1270" t="s">
        <v>5702</v>
      </c>
      <c r="H1270" t="s">
        <v>153</v>
      </c>
      <c r="I1270" t="s">
        <v>5704</v>
      </c>
    </row>
    <row r="1271" spans="1:9" x14ac:dyDescent="0.35">
      <c r="A1271" t="s">
        <v>5706</v>
      </c>
      <c r="B1271" t="str">
        <f>"9781317052746"</f>
        <v>9781317052746</v>
      </c>
      <c r="C1271" t="s">
        <v>5709</v>
      </c>
      <c r="D1271" t="s">
        <v>5707</v>
      </c>
      <c r="E1271" t="s">
        <v>9</v>
      </c>
      <c r="H1271" t="s">
        <v>22</v>
      </c>
      <c r="I1271" t="s">
        <v>5708</v>
      </c>
    </row>
    <row r="1272" spans="1:9" x14ac:dyDescent="0.35">
      <c r="A1272" t="s">
        <v>5710</v>
      </c>
      <c r="B1272" t="str">
        <f>"9781317065869"</f>
        <v>9781317065869</v>
      </c>
      <c r="C1272" t="s">
        <v>5713</v>
      </c>
      <c r="D1272" t="s">
        <v>5711</v>
      </c>
      <c r="E1272" t="s">
        <v>9</v>
      </c>
      <c r="H1272" t="s">
        <v>138</v>
      </c>
      <c r="I1272" t="s">
        <v>5712</v>
      </c>
    </row>
    <row r="1273" spans="1:9" x14ac:dyDescent="0.35">
      <c r="A1273" t="s">
        <v>5714</v>
      </c>
      <c r="B1273" t="str">
        <f>"9780739143667"</f>
        <v>9780739143667</v>
      </c>
      <c r="C1273" t="s">
        <v>5717</v>
      </c>
      <c r="D1273" t="s">
        <v>5715</v>
      </c>
      <c r="E1273" t="s">
        <v>887</v>
      </c>
      <c r="H1273" t="s">
        <v>22</v>
      </c>
      <c r="I1273" t="s">
        <v>5716</v>
      </c>
    </row>
    <row r="1274" spans="1:9" x14ac:dyDescent="0.35">
      <c r="A1274" t="s">
        <v>5718</v>
      </c>
      <c r="B1274" t="str">
        <f>"9780253020802"</f>
        <v>9780253020802</v>
      </c>
      <c r="C1274" t="s">
        <v>5722</v>
      </c>
      <c r="D1274" t="s">
        <v>5720</v>
      </c>
      <c r="E1274" t="s">
        <v>110</v>
      </c>
      <c r="F1274" t="s">
        <v>5719</v>
      </c>
      <c r="H1274" t="s">
        <v>22</v>
      </c>
      <c r="I1274" t="s">
        <v>5721</v>
      </c>
    </row>
    <row r="1275" spans="1:9" x14ac:dyDescent="0.35">
      <c r="A1275" t="s">
        <v>5723</v>
      </c>
      <c r="B1275" t="str">
        <f>"9781317065562"</f>
        <v>9781317065562</v>
      </c>
      <c r="C1275" t="s">
        <v>5725</v>
      </c>
      <c r="D1275" t="s">
        <v>4253</v>
      </c>
      <c r="E1275" t="s">
        <v>9</v>
      </c>
      <c r="H1275" t="s">
        <v>22</v>
      </c>
      <c r="I1275" t="s">
        <v>5724</v>
      </c>
    </row>
    <row r="1276" spans="1:9" x14ac:dyDescent="0.35">
      <c r="A1276" t="s">
        <v>5726</v>
      </c>
      <c r="B1276" t="str">
        <f>"9781317072829"</f>
        <v>9781317072829</v>
      </c>
      <c r="C1276" t="s">
        <v>5729</v>
      </c>
      <c r="D1276" t="s">
        <v>5727</v>
      </c>
      <c r="E1276" t="s">
        <v>9</v>
      </c>
      <c r="H1276" t="s">
        <v>147</v>
      </c>
      <c r="I1276" t="s">
        <v>5728</v>
      </c>
    </row>
    <row r="1277" spans="1:9" x14ac:dyDescent="0.35">
      <c r="A1277" t="s">
        <v>5730</v>
      </c>
      <c r="B1277" t="str">
        <f>"9781317072669"</f>
        <v>9781317072669</v>
      </c>
      <c r="C1277" t="s">
        <v>5733</v>
      </c>
      <c r="D1277" t="s">
        <v>5731</v>
      </c>
      <c r="E1277" t="s">
        <v>9</v>
      </c>
      <c r="H1277" t="s">
        <v>22</v>
      </c>
      <c r="I1277" t="s">
        <v>5732</v>
      </c>
    </row>
    <row r="1278" spans="1:9" x14ac:dyDescent="0.35">
      <c r="A1278" t="s">
        <v>5734</v>
      </c>
      <c r="B1278" t="str">
        <f>"9781317130871"</f>
        <v>9781317130871</v>
      </c>
      <c r="C1278" t="s">
        <v>5737</v>
      </c>
      <c r="D1278" t="s">
        <v>5735</v>
      </c>
      <c r="E1278" t="s">
        <v>9</v>
      </c>
      <c r="H1278" t="s">
        <v>22</v>
      </c>
      <c r="I1278" t="s">
        <v>5736</v>
      </c>
    </row>
    <row r="1279" spans="1:9" x14ac:dyDescent="0.35">
      <c r="A1279" t="s">
        <v>5738</v>
      </c>
      <c r="B1279" t="str">
        <f>"9781317135739"</f>
        <v>9781317135739</v>
      </c>
      <c r="C1279" t="s">
        <v>5740</v>
      </c>
      <c r="D1279" t="s">
        <v>5739</v>
      </c>
      <c r="E1279" t="s">
        <v>9</v>
      </c>
      <c r="H1279" t="s">
        <v>397</v>
      </c>
    </row>
    <row r="1280" spans="1:9" x14ac:dyDescent="0.35">
      <c r="A1280" t="s">
        <v>5741</v>
      </c>
      <c r="B1280" t="str">
        <f>"9781135474447"</f>
        <v>9781135474447</v>
      </c>
      <c r="C1280" t="s">
        <v>5745</v>
      </c>
      <c r="D1280" t="s">
        <v>5743</v>
      </c>
      <c r="E1280" t="s">
        <v>9</v>
      </c>
      <c r="F1280" t="s">
        <v>5742</v>
      </c>
      <c r="H1280" t="s">
        <v>22</v>
      </c>
      <c r="I1280" t="s">
        <v>5744</v>
      </c>
    </row>
    <row r="1281" spans="1:9" x14ac:dyDescent="0.35">
      <c r="A1281" t="s">
        <v>5746</v>
      </c>
      <c r="B1281" t="str">
        <f>"9781501702976"</f>
        <v>9781501702976</v>
      </c>
      <c r="C1281" t="s">
        <v>5749</v>
      </c>
      <c r="D1281" t="s">
        <v>5747</v>
      </c>
      <c r="E1281" t="s">
        <v>4329</v>
      </c>
      <c r="H1281" t="s">
        <v>22</v>
      </c>
      <c r="I1281" t="s">
        <v>5748</v>
      </c>
    </row>
    <row r="1282" spans="1:9" x14ac:dyDescent="0.35">
      <c r="A1282" t="s">
        <v>5750</v>
      </c>
      <c r="B1282" t="str">
        <f>"9789888313907"</f>
        <v>9789888313907</v>
      </c>
      <c r="C1282" t="s">
        <v>5753</v>
      </c>
      <c r="D1282" t="s">
        <v>5751</v>
      </c>
      <c r="E1282" t="s">
        <v>1500</v>
      </c>
      <c r="F1282" t="s">
        <v>1506</v>
      </c>
      <c r="H1282" t="s">
        <v>22</v>
      </c>
      <c r="I1282" t="s">
        <v>5752</v>
      </c>
    </row>
    <row r="1283" spans="1:9" x14ac:dyDescent="0.35">
      <c r="A1283" t="s">
        <v>5754</v>
      </c>
      <c r="B1283" t="str">
        <f>"9781617754654"</f>
        <v>9781617754654</v>
      </c>
      <c r="C1283" t="s">
        <v>5758</v>
      </c>
      <c r="D1283" t="s">
        <v>5756</v>
      </c>
      <c r="E1283" t="s">
        <v>3468</v>
      </c>
      <c r="F1283" t="s">
        <v>5755</v>
      </c>
      <c r="H1283" t="s">
        <v>116</v>
      </c>
      <c r="I1283" t="s">
        <v>5757</v>
      </c>
    </row>
    <row r="1284" spans="1:9" x14ac:dyDescent="0.35">
      <c r="A1284" t="s">
        <v>5759</v>
      </c>
      <c r="B1284" t="str">
        <f>"9781613762233"</f>
        <v>9781613762233</v>
      </c>
      <c r="C1284" t="s">
        <v>5763</v>
      </c>
      <c r="D1284" t="s">
        <v>5761</v>
      </c>
      <c r="E1284" t="s">
        <v>5760</v>
      </c>
      <c r="H1284" t="s">
        <v>163</v>
      </c>
      <c r="I1284" t="s">
        <v>5762</v>
      </c>
    </row>
    <row r="1285" spans="1:9" x14ac:dyDescent="0.35">
      <c r="A1285" t="s">
        <v>5764</v>
      </c>
      <c r="B1285" t="str">
        <f>"9781613762578"</f>
        <v>9781613762578</v>
      </c>
      <c r="C1285" t="s">
        <v>5767</v>
      </c>
      <c r="D1285" t="s">
        <v>5765</v>
      </c>
      <c r="E1285" t="s">
        <v>5760</v>
      </c>
      <c r="H1285" t="s">
        <v>38</v>
      </c>
      <c r="I1285" t="s">
        <v>5766</v>
      </c>
    </row>
    <row r="1286" spans="1:9" x14ac:dyDescent="0.35">
      <c r="A1286" t="s">
        <v>5768</v>
      </c>
      <c r="B1286" t="str">
        <f>"9781613762837"</f>
        <v>9781613762837</v>
      </c>
      <c r="C1286" t="s">
        <v>5772</v>
      </c>
      <c r="D1286" t="s">
        <v>5770</v>
      </c>
      <c r="E1286" t="s">
        <v>5760</v>
      </c>
      <c r="F1286" t="s">
        <v>5769</v>
      </c>
      <c r="H1286" t="s">
        <v>147</v>
      </c>
      <c r="I1286" t="s">
        <v>5771</v>
      </c>
    </row>
    <row r="1287" spans="1:9" x14ac:dyDescent="0.35">
      <c r="A1287" t="s">
        <v>5773</v>
      </c>
      <c r="B1287" t="str">
        <f>"9781613763087"</f>
        <v>9781613763087</v>
      </c>
      <c r="C1287" t="s">
        <v>5775</v>
      </c>
      <c r="D1287" t="s">
        <v>5774</v>
      </c>
      <c r="E1287" t="s">
        <v>5760</v>
      </c>
      <c r="H1287" t="s">
        <v>22</v>
      </c>
      <c r="I1287" t="s">
        <v>3246</v>
      </c>
    </row>
    <row r="1288" spans="1:9" x14ac:dyDescent="0.35">
      <c r="A1288" t="s">
        <v>5776</v>
      </c>
      <c r="B1288" t="str">
        <f>"9781613763117"</f>
        <v>9781613763117</v>
      </c>
      <c r="C1288" t="s">
        <v>5779</v>
      </c>
      <c r="D1288" t="s">
        <v>5777</v>
      </c>
      <c r="E1288" t="s">
        <v>5760</v>
      </c>
      <c r="F1288" t="s">
        <v>5769</v>
      </c>
      <c r="H1288" t="s">
        <v>275</v>
      </c>
      <c r="I1288" t="s">
        <v>5778</v>
      </c>
    </row>
    <row r="1289" spans="1:9" x14ac:dyDescent="0.35">
      <c r="A1289" t="s">
        <v>5780</v>
      </c>
      <c r="B1289" t="str">
        <f>"9781613763520"</f>
        <v>9781613763520</v>
      </c>
      <c r="C1289" t="s">
        <v>5784</v>
      </c>
      <c r="D1289" t="s">
        <v>5781</v>
      </c>
      <c r="E1289" t="s">
        <v>5760</v>
      </c>
      <c r="H1289" t="s">
        <v>5782</v>
      </c>
      <c r="I1289" t="s">
        <v>5783</v>
      </c>
    </row>
    <row r="1290" spans="1:9" x14ac:dyDescent="0.35">
      <c r="A1290" t="s">
        <v>5785</v>
      </c>
      <c r="B1290" t="str">
        <f>"9781443884129"</f>
        <v>9781443884129</v>
      </c>
      <c r="C1290" t="s">
        <v>5788</v>
      </c>
      <c r="D1290" t="s">
        <v>5786</v>
      </c>
      <c r="E1290" t="s">
        <v>2729</v>
      </c>
      <c r="H1290" t="s">
        <v>147</v>
      </c>
      <c r="I1290" t="s">
        <v>5787</v>
      </c>
    </row>
    <row r="1291" spans="1:9" x14ac:dyDescent="0.35">
      <c r="A1291" t="s">
        <v>5789</v>
      </c>
      <c r="B1291" t="str">
        <f>"9781443884303"</f>
        <v>9781443884303</v>
      </c>
      <c r="C1291" t="s">
        <v>5792</v>
      </c>
      <c r="D1291" t="s">
        <v>5790</v>
      </c>
      <c r="E1291" t="s">
        <v>2729</v>
      </c>
      <c r="H1291" t="s">
        <v>22</v>
      </c>
      <c r="I1291" t="s">
        <v>5791</v>
      </c>
    </row>
    <row r="1292" spans="1:9" x14ac:dyDescent="0.35">
      <c r="A1292" t="s">
        <v>5793</v>
      </c>
      <c r="B1292" t="str">
        <f>"9781443884761"</f>
        <v>9781443884761</v>
      </c>
      <c r="C1292" t="s">
        <v>5796</v>
      </c>
      <c r="D1292" t="s">
        <v>5794</v>
      </c>
      <c r="E1292" t="s">
        <v>2729</v>
      </c>
      <c r="H1292" t="s">
        <v>22</v>
      </c>
      <c r="I1292" t="s">
        <v>5795</v>
      </c>
    </row>
    <row r="1293" spans="1:9" x14ac:dyDescent="0.35">
      <c r="A1293" t="s">
        <v>5797</v>
      </c>
      <c r="B1293" t="str">
        <f>"9781939293879"</f>
        <v>9781939293879</v>
      </c>
      <c r="C1293" t="s">
        <v>5801</v>
      </c>
      <c r="D1293" t="s">
        <v>5799</v>
      </c>
      <c r="E1293" t="s">
        <v>5798</v>
      </c>
      <c r="H1293" t="s">
        <v>70</v>
      </c>
      <c r="I1293" t="s">
        <v>5800</v>
      </c>
    </row>
    <row r="1294" spans="1:9" x14ac:dyDescent="0.35">
      <c r="A1294" t="s">
        <v>5802</v>
      </c>
      <c r="B1294" t="str">
        <f>"9780821399620"</f>
        <v>9780821399620</v>
      </c>
      <c r="C1294" t="s">
        <v>5806</v>
      </c>
      <c r="D1294" t="s">
        <v>5804</v>
      </c>
      <c r="E1294" t="s">
        <v>863</v>
      </c>
      <c r="F1294" t="s">
        <v>5803</v>
      </c>
      <c r="H1294" t="s">
        <v>951</v>
      </c>
      <c r="I1294" t="s">
        <v>5805</v>
      </c>
    </row>
    <row r="1295" spans="1:9" x14ac:dyDescent="0.35">
      <c r="A1295" t="s">
        <v>5807</v>
      </c>
      <c r="B1295" t="str">
        <f>"9781443887571"</f>
        <v>9781443887571</v>
      </c>
      <c r="C1295" t="s">
        <v>5810</v>
      </c>
      <c r="D1295" t="s">
        <v>5808</v>
      </c>
      <c r="E1295" t="s">
        <v>2729</v>
      </c>
      <c r="H1295" t="s">
        <v>397</v>
      </c>
      <c r="I1295" t="s">
        <v>5809</v>
      </c>
    </row>
    <row r="1296" spans="1:9" x14ac:dyDescent="0.35">
      <c r="A1296" t="s">
        <v>5811</v>
      </c>
      <c r="B1296" t="str">
        <f>"9781501705007"</f>
        <v>9781501705007</v>
      </c>
      <c r="C1296" t="s">
        <v>5814</v>
      </c>
      <c r="D1296" t="s">
        <v>5812</v>
      </c>
      <c r="E1296" t="s">
        <v>4329</v>
      </c>
      <c r="H1296" t="s">
        <v>64</v>
      </c>
      <c r="I1296" t="s">
        <v>5813</v>
      </c>
    </row>
    <row r="1297" spans="1:9" x14ac:dyDescent="0.35">
      <c r="A1297" t="s">
        <v>5815</v>
      </c>
      <c r="B1297" t="str">
        <f>"9781681235516"</f>
        <v>9781681235516</v>
      </c>
      <c r="C1297" t="s">
        <v>5820</v>
      </c>
      <c r="D1297" t="s">
        <v>5817</v>
      </c>
      <c r="E1297" t="s">
        <v>4455</v>
      </c>
      <c r="F1297" t="s">
        <v>5816</v>
      </c>
      <c r="H1297" t="s">
        <v>5818</v>
      </c>
      <c r="I1297" t="s">
        <v>5819</v>
      </c>
    </row>
    <row r="1298" spans="1:9" x14ac:dyDescent="0.35">
      <c r="A1298" t="s">
        <v>5821</v>
      </c>
      <c r="B1298" t="str">
        <f>"9781501706004"</f>
        <v>9781501706004</v>
      </c>
      <c r="C1298" t="s">
        <v>5825</v>
      </c>
      <c r="D1298" t="s">
        <v>5823</v>
      </c>
      <c r="E1298" t="s">
        <v>4329</v>
      </c>
      <c r="F1298" t="s">
        <v>5822</v>
      </c>
      <c r="H1298" t="s">
        <v>22</v>
      </c>
      <c r="I1298" t="s">
        <v>5824</v>
      </c>
    </row>
    <row r="1299" spans="1:9" x14ac:dyDescent="0.35">
      <c r="A1299" t="s">
        <v>5826</v>
      </c>
      <c r="B1299" t="str">
        <f>"9780815652915"</f>
        <v>9780815652915</v>
      </c>
      <c r="C1299" t="s">
        <v>5829</v>
      </c>
      <c r="D1299" t="s">
        <v>5827</v>
      </c>
      <c r="E1299" t="s">
        <v>4810</v>
      </c>
      <c r="H1299" t="s">
        <v>625</v>
      </c>
      <c r="I1299" t="s">
        <v>5828</v>
      </c>
    </row>
    <row r="1300" spans="1:9" x14ac:dyDescent="0.35">
      <c r="A1300" t="s">
        <v>5830</v>
      </c>
      <c r="B1300" t="str">
        <f>"9781474282048"</f>
        <v>9781474282048</v>
      </c>
      <c r="C1300" t="s">
        <v>5833</v>
      </c>
      <c r="D1300" t="s">
        <v>5832</v>
      </c>
      <c r="E1300" t="s">
        <v>629</v>
      </c>
      <c r="F1300" t="s">
        <v>5831</v>
      </c>
      <c r="H1300" t="s">
        <v>163</v>
      </c>
    </row>
    <row r="1301" spans="1:9" x14ac:dyDescent="0.35">
      <c r="A1301" t="s">
        <v>5834</v>
      </c>
      <c r="B1301" t="str">
        <f>"9781442672918"</f>
        <v>9781442672918</v>
      </c>
      <c r="C1301" t="s">
        <v>5837</v>
      </c>
      <c r="D1301" t="s">
        <v>5836</v>
      </c>
      <c r="E1301" t="s">
        <v>5835</v>
      </c>
      <c r="H1301" t="s">
        <v>147</v>
      </c>
    </row>
    <row r="1302" spans="1:9" x14ac:dyDescent="0.35">
      <c r="A1302" t="s">
        <v>5838</v>
      </c>
      <c r="B1302" t="str">
        <f>"9781442678491"</f>
        <v>9781442678491</v>
      </c>
      <c r="C1302" t="s">
        <v>5840</v>
      </c>
      <c r="D1302" t="s">
        <v>5839</v>
      </c>
      <c r="E1302" t="s">
        <v>5835</v>
      </c>
      <c r="H1302" t="s">
        <v>22</v>
      </c>
    </row>
    <row r="1303" spans="1:9" x14ac:dyDescent="0.35">
      <c r="A1303" t="s">
        <v>5841</v>
      </c>
      <c r="B1303" t="str">
        <f>"9781442682450"</f>
        <v>9781442682450</v>
      </c>
      <c r="C1303" t="s">
        <v>5844</v>
      </c>
      <c r="D1303" t="s">
        <v>5843</v>
      </c>
      <c r="E1303" t="s">
        <v>5835</v>
      </c>
      <c r="F1303" t="s">
        <v>5842</v>
      </c>
      <c r="H1303" t="s">
        <v>854</v>
      </c>
    </row>
    <row r="1304" spans="1:9" x14ac:dyDescent="0.35">
      <c r="A1304" t="s">
        <v>5845</v>
      </c>
      <c r="B1304" t="str">
        <f>"9781442688896"</f>
        <v>9781442688896</v>
      </c>
      <c r="C1304" t="s">
        <v>5848</v>
      </c>
      <c r="D1304" t="s">
        <v>5846</v>
      </c>
      <c r="E1304" t="s">
        <v>5835</v>
      </c>
      <c r="H1304" t="s">
        <v>22</v>
      </c>
      <c r="I1304" t="s">
        <v>5847</v>
      </c>
    </row>
    <row r="1305" spans="1:9" x14ac:dyDescent="0.35">
      <c r="A1305" t="s">
        <v>5849</v>
      </c>
      <c r="B1305" t="str">
        <f>"9781442689220"</f>
        <v>9781442689220</v>
      </c>
      <c r="C1305" t="s">
        <v>5853</v>
      </c>
      <c r="D1305" t="s">
        <v>5851</v>
      </c>
      <c r="E1305" t="s">
        <v>5835</v>
      </c>
      <c r="F1305" t="s">
        <v>5850</v>
      </c>
      <c r="H1305" t="s">
        <v>22</v>
      </c>
      <c r="I1305" t="s">
        <v>5852</v>
      </c>
    </row>
    <row r="1306" spans="1:9" x14ac:dyDescent="0.35">
      <c r="A1306" t="s">
        <v>5854</v>
      </c>
      <c r="B1306" t="str">
        <f>"9781442697447"</f>
        <v>9781442697447</v>
      </c>
      <c r="C1306" t="s">
        <v>5858</v>
      </c>
      <c r="D1306" t="s">
        <v>5856</v>
      </c>
      <c r="E1306" t="s">
        <v>5835</v>
      </c>
      <c r="F1306" t="s">
        <v>5855</v>
      </c>
      <c r="H1306" t="s">
        <v>147</v>
      </c>
      <c r="I1306" t="s">
        <v>5857</v>
      </c>
    </row>
    <row r="1307" spans="1:9" x14ac:dyDescent="0.35">
      <c r="A1307" t="s">
        <v>5859</v>
      </c>
      <c r="B1307" t="str">
        <f>"9781442697539"</f>
        <v>9781442697539</v>
      </c>
      <c r="C1307" t="s">
        <v>5861</v>
      </c>
      <c r="D1307" t="s">
        <v>5860</v>
      </c>
      <c r="E1307" t="s">
        <v>5835</v>
      </c>
      <c r="F1307" t="s">
        <v>5855</v>
      </c>
      <c r="H1307" t="s">
        <v>147</v>
      </c>
    </row>
    <row r="1308" spans="1:9" x14ac:dyDescent="0.35">
      <c r="A1308" t="s">
        <v>5862</v>
      </c>
      <c r="B1308" t="str">
        <f>"9781783205691"</f>
        <v>9781783205691</v>
      </c>
      <c r="C1308" t="s">
        <v>5865</v>
      </c>
      <c r="D1308" t="s">
        <v>5863</v>
      </c>
      <c r="E1308" t="s">
        <v>479</v>
      </c>
      <c r="H1308" t="s">
        <v>22</v>
      </c>
      <c r="I1308" t="s">
        <v>5864</v>
      </c>
    </row>
    <row r="1309" spans="1:9" x14ac:dyDescent="0.35">
      <c r="A1309" t="s">
        <v>5866</v>
      </c>
      <c r="B1309" t="str">
        <f>"9781315289755"</f>
        <v>9781315289755</v>
      </c>
      <c r="C1309" t="s">
        <v>5868</v>
      </c>
      <c r="D1309" t="s">
        <v>5867</v>
      </c>
      <c r="E1309" t="s">
        <v>9</v>
      </c>
      <c r="H1309" t="s">
        <v>22</v>
      </c>
      <c r="I1309" t="s">
        <v>5473</v>
      </c>
    </row>
    <row r="1310" spans="1:9" x14ac:dyDescent="0.35">
      <c r="A1310" t="s">
        <v>5869</v>
      </c>
      <c r="B1310" t="str">
        <f>"9780195347296"</f>
        <v>9780195347296</v>
      </c>
      <c r="C1310" t="s">
        <v>5872</v>
      </c>
      <c r="D1310" t="s">
        <v>5870</v>
      </c>
      <c r="E1310" t="s">
        <v>167</v>
      </c>
      <c r="F1310" t="s">
        <v>658</v>
      </c>
      <c r="H1310" t="s">
        <v>470</v>
      </c>
      <c r="I1310" t="s">
        <v>5871</v>
      </c>
    </row>
    <row r="1311" spans="1:9" x14ac:dyDescent="0.35">
      <c r="A1311" t="s">
        <v>5873</v>
      </c>
      <c r="B1311" t="str">
        <f>"9780199738267"</f>
        <v>9780199738267</v>
      </c>
      <c r="C1311" t="s">
        <v>5877</v>
      </c>
      <c r="D1311" t="s">
        <v>5874</v>
      </c>
      <c r="E1311" t="s">
        <v>603</v>
      </c>
      <c r="H1311" t="s">
        <v>5875</v>
      </c>
      <c r="I1311" t="s">
        <v>5876</v>
      </c>
    </row>
    <row r="1312" spans="1:9" x14ac:dyDescent="0.35">
      <c r="A1312" t="s">
        <v>5878</v>
      </c>
      <c r="B1312" t="str">
        <f>"9781631010323"</f>
        <v>9781631010323</v>
      </c>
      <c r="C1312" t="s">
        <v>5882</v>
      </c>
      <c r="D1312" t="s">
        <v>5880</v>
      </c>
      <c r="E1312" t="s">
        <v>5879</v>
      </c>
      <c r="H1312" t="s">
        <v>147</v>
      </c>
      <c r="I1312" t="s">
        <v>5881</v>
      </c>
    </row>
    <row r="1313" spans="1:9" x14ac:dyDescent="0.35">
      <c r="A1313" t="s">
        <v>5883</v>
      </c>
      <c r="B1313" t="str">
        <f>"9781613122372"</f>
        <v>9781613122372</v>
      </c>
      <c r="C1313" t="s">
        <v>5887</v>
      </c>
      <c r="D1313" t="s">
        <v>5885</v>
      </c>
      <c r="E1313" t="s">
        <v>5884</v>
      </c>
      <c r="H1313" t="s">
        <v>1949</v>
      </c>
      <c r="I1313" t="s">
        <v>5886</v>
      </c>
    </row>
    <row r="1314" spans="1:9" x14ac:dyDescent="0.35">
      <c r="A1314" t="s">
        <v>5888</v>
      </c>
      <c r="B1314" t="str">
        <f>"9781620364574"</f>
        <v>9781620364574</v>
      </c>
      <c r="C1314" t="s">
        <v>5891</v>
      </c>
      <c r="D1314" t="s">
        <v>5889</v>
      </c>
      <c r="E1314" t="s">
        <v>5683</v>
      </c>
      <c r="H1314" t="s">
        <v>209</v>
      </c>
      <c r="I1314" t="s">
        <v>5890</v>
      </c>
    </row>
    <row r="1315" spans="1:9" x14ac:dyDescent="0.35">
      <c r="A1315" t="s">
        <v>5892</v>
      </c>
      <c r="B1315" t="str">
        <f>"9782930765150"</f>
        <v>9782930765150</v>
      </c>
      <c r="C1315" t="s">
        <v>5896</v>
      </c>
      <c r="D1315" t="s">
        <v>5894</v>
      </c>
      <c r="E1315" t="s">
        <v>5893</v>
      </c>
      <c r="H1315" t="s">
        <v>22</v>
      </c>
      <c r="I1315" t="s">
        <v>5895</v>
      </c>
    </row>
    <row r="1316" spans="1:9" x14ac:dyDescent="0.35">
      <c r="A1316" t="s">
        <v>5897</v>
      </c>
      <c r="B1316" t="str">
        <f>"9781443855594"</f>
        <v>9781443855594</v>
      </c>
      <c r="C1316" t="s">
        <v>5900</v>
      </c>
      <c r="D1316" t="s">
        <v>5898</v>
      </c>
      <c r="E1316" t="s">
        <v>2729</v>
      </c>
      <c r="H1316" t="s">
        <v>22</v>
      </c>
      <c r="I1316" t="s">
        <v>5899</v>
      </c>
    </row>
    <row r="1317" spans="1:9" x14ac:dyDescent="0.35">
      <c r="A1317" t="s">
        <v>5901</v>
      </c>
      <c r="B1317" t="str">
        <f>"9781443855617"</f>
        <v>9781443855617</v>
      </c>
      <c r="C1317" t="s">
        <v>5904</v>
      </c>
      <c r="D1317" t="s">
        <v>5902</v>
      </c>
      <c r="E1317" t="s">
        <v>2729</v>
      </c>
      <c r="H1317" t="s">
        <v>22</v>
      </c>
      <c r="I1317" t="s">
        <v>5903</v>
      </c>
    </row>
    <row r="1318" spans="1:9" x14ac:dyDescent="0.35">
      <c r="A1318" t="s">
        <v>5905</v>
      </c>
      <c r="B1318" t="str">
        <f>"9781504043595"</f>
        <v>9781504043595</v>
      </c>
      <c r="C1318" t="s">
        <v>5909</v>
      </c>
      <c r="D1318" t="s">
        <v>5907</v>
      </c>
      <c r="E1318" t="s">
        <v>5906</v>
      </c>
      <c r="H1318" t="s">
        <v>147</v>
      </c>
      <c r="I1318" t="s">
        <v>5908</v>
      </c>
    </row>
    <row r="1319" spans="1:9" x14ac:dyDescent="0.35">
      <c r="A1319" t="s">
        <v>5910</v>
      </c>
      <c r="B1319" t="str">
        <f>"9782763798615"</f>
        <v>9782763798615</v>
      </c>
      <c r="C1319" t="s">
        <v>5915</v>
      </c>
      <c r="D1319" t="s">
        <v>5913</v>
      </c>
      <c r="E1319" t="s">
        <v>5911</v>
      </c>
      <c r="F1319" t="s">
        <v>5912</v>
      </c>
      <c r="H1319" t="s">
        <v>636</v>
      </c>
      <c r="I1319" t="s">
        <v>5914</v>
      </c>
    </row>
    <row r="1320" spans="1:9" x14ac:dyDescent="0.35">
      <c r="A1320" t="s">
        <v>5916</v>
      </c>
      <c r="B1320" t="str">
        <f>"9781620363898"</f>
        <v>9781620363898</v>
      </c>
      <c r="C1320" t="s">
        <v>5919</v>
      </c>
      <c r="D1320" t="s">
        <v>5917</v>
      </c>
      <c r="E1320" t="s">
        <v>5683</v>
      </c>
      <c r="H1320" t="s">
        <v>209</v>
      </c>
      <c r="I1320" t="s">
        <v>5918</v>
      </c>
    </row>
    <row r="1321" spans="1:9" x14ac:dyDescent="0.35">
      <c r="A1321" t="s">
        <v>5920</v>
      </c>
      <c r="B1321" t="str">
        <f>"9780887555053"</f>
        <v>9780887555053</v>
      </c>
      <c r="C1321" t="s">
        <v>5925</v>
      </c>
      <c r="D1321" t="s">
        <v>5923</v>
      </c>
      <c r="E1321" t="s">
        <v>5921</v>
      </c>
      <c r="F1321" t="s">
        <v>5922</v>
      </c>
      <c r="H1321" t="s">
        <v>22</v>
      </c>
      <c r="I1321" t="s">
        <v>5924</v>
      </c>
    </row>
    <row r="1322" spans="1:9" x14ac:dyDescent="0.35">
      <c r="A1322" t="s">
        <v>5926</v>
      </c>
      <c r="B1322" t="str">
        <f>"9781780018607"</f>
        <v>9781780018607</v>
      </c>
      <c r="C1322" t="s">
        <v>5930</v>
      </c>
      <c r="D1322" t="s">
        <v>5928</v>
      </c>
      <c r="E1322" t="s">
        <v>5927</v>
      </c>
      <c r="H1322" t="s">
        <v>3371</v>
      </c>
      <c r="I1322" t="s">
        <v>5929</v>
      </c>
    </row>
    <row r="1323" spans="1:9" x14ac:dyDescent="0.35">
      <c r="A1323" t="s">
        <v>5931</v>
      </c>
      <c r="B1323" t="str">
        <f>"9781351953993"</f>
        <v>9781351953993</v>
      </c>
      <c r="C1323" t="s">
        <v>5933</v>
      </c>
      <c r="D1323" t="s">
        <v>5932</v>
      </c>
      <c r="E1323" t="s">
        <v>9</v>
      </c>
      <c r="H1323" t="s">
        <v>22</v>
      </c>
    </row>
    <row r="1324" spans="1:9" x14ac:dyDescent="0.35">
      <c r="A1324" t="s">
        <v>5934</v>
      </c>
      <c r="B1324" t="str">
        <f>"9781443812856"</f>
        <v>9781443812856</v>
      </c>
      <c r="C1324" t="s">
        <v>5938</v>
      </c>
      <c r="D1324" t="s">
        <v>5935</v>
      </c>
      <c r="E1324" t="s">
        <v>2729</v>
      </c>
      <c r="H1324" t="s">
        <v>5936</v>
      </c>
      <c r="I1324" t="s">
        <v>5937</v>
      </c>
    </row>
    <row r="1325" spans="1:9" x14ac:dyDescent="0.35">
      <c r="A1325" t="s">
        <v>5939</v>
      </c>
      <c r="B1325" t="str">
        <f>"9781772120349"</f>
        <v>9781772120349</v>
      </c>
      <c r="C1325" t="s">
        <v>5943</v>
      </c>
      <c r="D1325" t="s">
        <v>5941</v>
      </c>
      <c r="E1325" t="s">
        <v>5940</v>
      </c>
      <c r="H1325" t="s">
        <v>22</v>
      </c>
      <c r="I1325" t="s">
        <v>5942</v>
      </c>
    </row>
    <row r="1326" spans="1:9" x14ac:dyDescent="0.35">
      <c r="A1326" t="s">
        <v>5944</v>
      </c>
      <c r="B1326" t="str">
        <f>"9781772121070"</f>
        <v>9781772121070</v>
      </c>
      <c r="C1326" t="s">
        <v>5947</v>
      </c>
      <c r="D1326" t="s">
        <v>5945</v>
      </c>
      <c r="E1326" t="s">
        <v>5940</v>
      </c>
      <c r="H1326" t="s">
        <v>2709</v>
      </c>
      <c r="I1326" t="s">
        <v>5946</v>
      </c>
    </row>
    <row r="1327" spans="1:9" x14ac:dyDescent="0.35">
      <c r="A1327" t="s">
        <v>5948</v>
      </c>
      <c r="B1327" t="str">
        <f>"9780887554438"</f>
        <v>9780887554438</v>
      </c>
      <c r="C1327" t="s">
        <v>5951</v>
      </c>
      <c r="D1327" t="s">
        <v>5949</v>
      </c>
      <c r="E1327" t="s">
        <v>5921</v>
      </c>
      <c r="H1327" t="s">
        <v>38</v>
      </c>
      <c r="I1327" t="s">
        <v>5950</v>
      </c>
    </row>
    <row r="1328" spans="1:9" x14ac:dyDescent="0.35">
      <c r="A1328" t="s">
        <v>5952</v>
      </c>
      <c r="B1328" t="str">
        <f>"9780887554797"</f>
        <v>9780887554797</v>
      </c>
      <c r="C1328" t="s">
        <v>5955</v>
      </c>
      <c r="D1328" t="s">
        <v>5953</v>
      </c>
      <c r="E1328" t="s">
        <v>5921</v>
      </c>
      <c r="H1328" t="s">
        <v>153</v>
      </c>
      <c r="I1328" t="s">
        <v>5954</v>
      </c>
    </row>
    <row r="1329" spans="1:9" x14ac:dyDescent="0.35">
      <c r="A1329" t="s">
        <v>5956</v>
      </c>
      <c r="B1329" t="str">
        <f>"9781439660713"</f>
        <v>9781439660713</v>
      </c>
      <c r="C1329" t="s">
        <v>5960</v>
      </c>
      <c r="D1329" t="s">
        <v>5958</v>
      </c>
      <c r="E1329" t="s">
        <v>5957</v>
      </c>
      <c r="H1329" t="s">
        <v>22</v>
      </c>
      <c r="I1329" t="s">
        <v>5959</v>
      </c>
    </row>
    <row r="1330" spans="1:9" x14ac:dyDescent="0.35">
      <c r="A1330" t="s">
        <v>5961</v>
      </c>
      <c r="B1330" t="str">
        <f>"9781467442954"</f>
        <v>9781467442954</v>
      </c>
      <c r="C1330" t="s">
        <v>5965</v>
      </c>
      <c r="D1330" t="s">
        <v>5963</v>
      </c>
      <c r="E1330" t="s">
        <v>5962</v>
      </c>
      <c r="H1330" t="s">
        <v>163</v>
      </c>
      <c r="I1330" t="s">
        <v>5964</v>
      </c>
    </row>
    <row r="1331" spans="1:9" x14ac:dyDescent="0.35">
      <c r="A1331" t="s">
        <v>5966</v>
      </c>
      <c r="B1331" t="str">
        <f>"9781504045834"</f>
        <v>9781504045834</v>
      </c>
      <c r="C1331" t="s">
        <v>5969</v>
      </c>
      <c r="D1331" t="s">
        <v>5967</v>
      </c>
      <c r="E1331" t="s">
        <v>5906</v>
      </c>
      <c r="H1331" t="s">
        <v>147</v>
      </c>
      <c r="I1331" t="s">
        <v>5968</v>
      </c>
    </row>
    <row r="1332" spans="1:9" x14ac:dyDescent="0.35">
      <c r="A1332" t="s">
        <v>5970</v>
      </c>
      <c r="B1332" t="str">
        <f>"9780826521446"</f>
        <v>9780826521446</v>
      </c>
      <c r="C1332" t="s">
        <v>5974</v>
      </c>
      <c r="D1332" t="s">
        <v>5972</v>
      </c>
      <c r="E1332" t="s">
        <v>5971</v>
      </c>
      <c r="H1332" t="s">
        <v>849</v>
      </c>
      <c r="I1332" t="s">
        <v>5973</v>
      </c>
    </row>
    <row r="1333" spans="1:9" x14ac:dyDescent="0.35">
      <c r="A1333" t="s">
        <v>5975</v>
      </c>
      <c r="B1333" t="str">
        <f>"9780253030238"</f>
        <v>9780253030238</v>
      </c>
      <c r="C1333" t="s">
        <v>5979</v>
      </c>
      <c r="D1333" t="s">
        <v>5977</v>
      </c>
      <c r="E1333" t="s">
        <v>110</v>
      </c>
      <c r="F1333" t="s">
        <v>5976</v>
      </c>
      <c r="H1333" t="s">
        <v>22</v>
      </c>
      <c r="I1333" t="s">
        <v>5978</v>
      </c>
    </row>
    <row r="1334" spans="1:9" x14ac:dyDescent="0.35">
      <c r="A1334" t="s">
        <v>5980</v>
      </c>
      <c r="B1334" t="str">
        <f>"9783110524499"</f>
        <v>9783110524499</v>
      </c>
      <c r="C1334" t="s">
        <v>5984</v>
      </c>
      <c r="D1334" t="s">
        <v>5982</v>
      </c>
      <c r="E1334" t="s">
        <v>3605</v>
      </c>
      <c r="F1334" t="s">
        <v>5981</v>
      </c>
      <c r="H1334" t="s">
        <v>2774</v>
      </c>
      <c r="I1334" t="s">
        <v>5983</v>
      </c>
    </row>
    <row r="1335" spans="1:9" x14ac:dyDescent="0.35">
      <c r="A1335" t="s">
        <v>5985</v>
      </c>
      <c r="B1335" t="str">
        <f>"9781553802228"</f>
        <v>9781553802228</v>
      </c>
      <c r="C1335" t="s">
        <v>5989</v>
      </c>
      <c r="D1335" t="s">
        <v>5987</v>
      </c>
      <c r="E1335" t="s">
        <v>5986</v>
      </c>
      <c r="H1335" t="s">
        <v>674</v>
      </c>
      <c r="I1335" t="s">
        <v>5988</v>
      </c>
    </row>
    <row r="1336" spans="1:9" x14ac:dyDescent="0.35">
      <c r="A1336" t="s">
        <v>5990</v>
      </c>
      <c r="B1336" t="str">
        <f>"9780889773899"</f>
        <v>9780889773899</v>
      </c>
      <c r="C1336" t="s">
        <v>5995</v>
      </c>
      <c r="D1336" t="s">
        <v>5993</v>
      </c>
      <c r="E1336" t="s">
        <v>5991</v>
      </c>
      <c r="F1336" t="s">
        <v>5992</v>
      </c>
      <c r="H1336" t="s">
        <v>22</v>
      </c>
      <c r="I1336" t="s">
        <v>5994</v>
      </c>
    </row>
    <row r="1337" spans="1:9" x14ac:dyDescent="0.35">
      <c r="A1337" t="s">
        <v>5996</v>
      </c>
      <c r="B1337" t="str">
        <f>"9780889774247"</f>
        <v>9780889774247</v>
      </c>
      <c r="C1337" t="s">
        <v>5999</v>
      </c>
      <c r="D1337" t="s">
        <v>5997</v>
      </c>
      <c r="E1337" t="s">
        <v>5991</v>
      </c>
      <c r="F1337" t="s">
        <v>5992</v>
      </c>
      <c r="H1337" t="s">
        <v>22</v>
      </c>
      <c r="I1337" t="s">
        <v>5998</v>
      </c>
    </row>
    <row r="1338" spans="1:9" x14ac:dyDescent="0.35">
      <c r="A1338" t="s">
        <v>6000</v>
      </c>
      <c r="B1338" t="str">
        <f>"9781317122852"</f>
        <v>9781317122852</v>
      </c>
      <c r="C1338" t="s">
        <v>6003</v>
      </c>
      <c r="D1338" t="s">
        <v>6001</v>
      </c>
      <c r="E1338" t="s">
        <v>9</v>
      </c>
      <c r="F1338" t="s">
        <v>759</v>
      </c>
      <c r="H1338" t="s">
        <v>22</v>
      </c>
      <c r="I1338" t="s">
        <v>6002</v>
      </c>
    </row>
    <row r="1339" spans="1:9" x14ac:dyDescent="0.35">
      <c r="A1339" t="s">
        <v>6004</v>
      </c>
      <c r="B1339" t="str">
        <f>"9780231544559"</f>
        <v>9780231544559</v>
      </c>
      <c r="C1339" t="s">
        <v>6008</v>
      </c>
      <c r="D1339" t="s">
        <v>6006</v>
      </c>
      <c r="E1339" t="s">
        <v>2251</v>
      </c>
      <c r="F1339" t="s">
        <v>6005</v>
      </c>
      <c r="H1339" t="s">
        <v>11</v>
      </c>
      <c r="I1339" t="s">
        <v>6007</v>
      </c>
    </row>
    <row r="1340" spans="1:9" x14ac:dyDescent="0.35">
      <c r="A1340" t="s">
        <v>6009</v>
      </c>
      <c r="B1340" t="str">
        <f>"9781683353010"</f>
        <v>9781683353010</v>
      </c>
      <c r="C1340" t="s">
        <v>6012</v>
      </c>
      <c r="D1340" t="s">
        <v>6010</v>
      </c>
      <c r="E1340" t="s">
        <v>5884</v>
      </c>
      <c r="H1340" t="s">
        <v>22</v>
      </c>
      <c r="I1340" t="s">
        <v>6011</v>
      </c>
    </row>
    <row r="1341" spans="1:9" x14ac:dyDescent="0.35">
      <c r="A1341" t="s">
        <v>6013</v>
      </c>
      <c r="B1341" t="str">
        <f>"9781501714849"</f>
        <v>9781501714849</v>
      </c>
      <c r="C1341" t="s">
        <v>6017</v>
      </c>
      <c r="D1341" t="s">
        <v>6015</v>
      </c>
      <c r="E1341" t="s">
        <v>4329</v>
      </c>
      <c r="F1341" t="s">
        <v>6014</v>
      </c>
      <c r="H1341" t="s">
        <v>22</v>
      </c>
      <c r="I1341" t="s">
        <v>6016</v>
      </c>
    </row>
    <row r="1342" spans="1:9" x14ac:dyDescent="0.35">
      <c r="A1342" t="s">
        <v>6018</v>
      </c>
      <c r="B1342" t="str">
        <f>"9781615371891"</f>
        <v>9781615371891</v>
      </c>
      <c r="C1342" t="s">
        <v>6021</v>
      </c>
      <c r="D1342" t="s">
        <v>6020</v>
      </c>
      <c r="E1342" t="s">
        <v>6019</v>
      </c>
      <c r="H1342" t="s">
        <v>197</v>
      </c>
    </row>
    <row r="1343" spans="1:9" x14ac:dyDescent="0.35">
      <c r="A1343" t="s">
        <v>6022</v>
      </c>
      <c r="B1343" t="str">
        <f>"9781439916223"</f>
        <v>9781439916223</v>
      </c>
      <c r="C1343" t="s">
        <v>6024</v>
      </c>
      <c r="D1343" t="s">
        <v>3601</v>
      </c>
      <c r="E1343" t="s">
        <v>1676</v>
      </c>
      <c r="H1343" t="s">
        <v>22</v>
      </c>
      <c r="I1343" t="s">
        <v>6023</v>
      </c>
    </row>
    <row r="1344" spans="1:9" x14ac:dyDescent="0.35">
      <c r="A1344" t="s">
        <v>6025</v>
      </c>
      <c r="B1344" t="str">
        <f>"9781550717211"</f>
        <v>9781550717211</v>
      </c>
      <c r="C1344" t="s">
        <v>6029</v>
      </c>
      <c r="D1344" t="s">
        <v>6027</v>
      </c>
      <c r="E1344" t="s">
        <v>6026</v>
      </c>
      <c r="H1344" t="s">
        <v>147</v>
      </c>
      <c r="I1344" t="s">
        <v>6028</v>
      </c>
    </row>
    <row r="1345" spans="1:9" x14ac:dyDescent="0.35">
      <c r="A1345" t="s">
        <v>6030</v>
      </c>
      <c r="B1345" t="str">
        <f>"9781771510554"</f>
        <v>9781771510554</v>
      </c>
      <c r="C1345" t="s">
        <v>6034</v>
      </c>
      <c r="D1345" t="s">
        <v>6032</v>
      </c>
      <c r="E1345" t="s">
        <v>6031</v>
      </c>
      <c r="H1345" t="s">
        <v>22</v>
      </c>
      <c r="I1345" t="s">
        <v>6033</v>
      </c>
    </row>
    <row r="1346" spans="1:9" x14ac:dyDescent="0.35">
      <c r="A1346" t="s">
        <v>6035</v>
      </c>
      <c r="B1346" t="str">
        <f>"9780252050572"</f>
        <v>9780252050572</v>
      </c>
      <c r="C1346" t="s">
        <v>6038</v>
      </c>
      <c r="D1346" t="s">
        <v>6036</v>
      </c>
      <c r="E1346" t="s">
        <v>4871</v>
      </c>
      <c r="H1346" t="s">
        <v>22</v>
      </c>
      <c r="I1346" t="s">
        <v>6037</v>
      </c>
    </row>
    <row r="1347" spans="1:9" x14ac:dyDescent="0.35">
      <c r="A1347" t="s">
        <v>6039</v>
      </c>
      <c r="B1347" t="str">
        <f>"9781467451338"</f>
        <v>9781467451338</v>
      </c>
      <c r="C1347" t="s">
        <v>6042</v>
      </c>
      <c r="D1347" t="s">
        <v>6040</v>
      </c>
      <c r="E1347" t="s">
        <v>5962</v>
      </c>
      <c r="H1347" t="s">
        <v>163</v>
      </c>
      <c r="I1347" t="s">
        <v>6041</v>
      </c>
    </row>
    <row r="1348" spans="1:9" x14ac:dyDescent="0.35">
      <c r="A1348" t="s">
        <v>6043</v>
      </c>
      <c r="B1348" t="str">
        <f>"9781926452968"</f>
        <v>9781926452968</v>
      </c>
      <c r="C1348" t="s">
        <v>6046</v>
      </c>
      <c r="D1348" t="s">
        <v>6045</v>
      </c>
      <c r="E1348" t="s">
        <v>6044</v>
      </c>
      <c r="H1348" t="s">
        <v>22</v>
      </c>
    </row>
    <row r="1349" spans="1:9" x14ac:dyDescent="0.35">
      <c r="A1349" t="s">
        <v>6047</v>
      </c>
      <c r="B1349" t="str">
        <f>"9781620972908"</f>
        <v>9781620972908</v>
      </c>
      <c r="C1349" t="s">
        <v>6050</v>
      </c>
      <c r="D1349" t="s">
        <v>6048</v>
      </c>
      <c r="E1349" t="s">
        <v>3711</v>
      </c>
      <c r="H1349" t="s">
        <v>22</v>
      </c>
      <c r="I1349" t="s">
        <v>6049</v>
      </c>
    </row>
    <row r="1350" spans="1:9" x14ac:dyDescent="0.35">
      <c r="A1350" t="s">
        <v>6051</v>
      </c>
      <c r="B1350" t="str">
        <f>"9781501700965"</f>
        <v>9781501700965</v>
      </c>
      <c r="C1350" t="s">
        <v>6054</v>
      </c>
      <c r="D1350" t="s">
        <v>6052</v>
      </c>
      <c r="E1350" t="s">
        <v>4329</v>
      </c>
      <c r="H1350" t="s">
        <v>22</v>
      </c>
      <c r="I1350" t="s">
        <v>6053</v>
      </c>
    </row>
  </sheetData>
  <autoFilter ref="A1:F1350" xr:uid="{10C5AFBC-9179-4BBC-8AEC-0D63172C8A1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McCormick</dc:creator>
  <cp:lastModifiedBy>Elizabeth McCormick</cp:lastModifiedBy>
  <dcterms:created xsi:type="dcterms:W3CDTF">2020-08-13T14:30:46Z</dcterms:created>
  <dcterms:modified xsi:type="dcterms:W3CDTF">2020-08-13T14:31:59Z</dcterms:modified>
</cp:coreProperties>
</file>